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Users/lelkins2/Desktop/"/>
    </mc:Choice>
  </mc:AlternateContent>
  <xr:revisionPtr revIDLastSave="0" documentId="13_ncr:1_{A0F26C72-CEC8-4148-B470-693CA5487A60}" xr6:coauthVersionLast="36" xr6:coauthVersionMax="36" xr10:uidLastSave="{00000000-0000-0000-0000-000000000000}"/>
  <bookViews>
    <workbookView xWindow="480" yWindow="460" windowWidth="25160" windowHeight="15300" xr2:uid="{00000000-000D-0000-FFFF-FFFF00000000}"/>
  </bookViews>
  <sheets>
    <sheet name="ReadMe - Data entry" sheetId="18" r:id="rId1"/>
    <sheet name="Modified mantle wedge" sheetId="9" r:id="rId2"/>
  </sheets>
  <definedNames>
    <definedName name="AOC_fraction">'ReadMe - Data entry'!$C$35</definedName>
    <definedName name="F_fluid">'ReadMe - Data entry'!$C$40</definedName>
    <definedName name="F_fluid_AOC">'ReadMe - Data entry'!$C$43</definedName>
    <definedName name="F_fluid_sed">'ReadMe - Data entry'!$C$40</definedName>
    <definedName name="F_fluid_seds">'ReadMe - Data entry'!$C$40</definedName>
    <definedName name="Melt_fraction">'ReadMe - Data entry'!$C$51</definedName>
    <definedName name="Melting_age">'ReadMe - Data entry'!$C$29</definedName>
    <definedName name="Recycling_age">'ReadMe - Data entry'!$C$24</definedName>
  </definedNames>
  <calcPr calcId="181029"/>
</workbook>
</file>

<file path=xl/calcChain.xml><?xml version="1.0" encoding="utf-8"?>
<calcChain xmlns="http://schemas.openxmlformats.org/spreadsheetml/2006/main">
  <c r="K172" i="9" l="1"/>
  <c r="J172" i="9"/>
  <c r="I172" i="9"/>
  <c r="H172" i="9"/>
  <c r="G172" i="9"/>
  <c r="F172" i="9"/>
  <c r="E172" i="9"/>
  <c r="D172" i="9"/>
  <c r="C172" i="9"/>
  <c r="T32" i="9" l="1"/>
  <c r="S32" i="9"/>
  <c r="A143" i="9"/>
  <c r="A126" i="9"/>
  <c r="A175" i="9"/>
  <c r="A265" i="9"/>
  <c r="A266" i="9"/>
  <c r="A267" i="9"/>
  <c r="A268" i="9"/>
  <c r="A269" i="9"/>
  <c r="A264" i="9"/>
  <c r="A248" i="9"/>
  <c r="A249" i="9"/>
  <c r="A250" i="9"/>
  <c r="A251" i="9"/>
  <c r="A252" i="9"/>
  <c r="A247" i="9"/>
  <c r="A228" i="9"/>
  <c r="A229" i="9"/>
  <c r="A230" i="9"/>
  <c r="A231" i="9"/>
  <c r="A232" i="9"/>
  <c r="A233" i="9"/>
  <c r="A242" i="9"/>
  <c r="A212" i="9"/>
  <c r="A213" i="9"/>
  <c r="A214" i="9"/>
  <c r="A215" i="9"/>
  <c r="A216" i="9"/>
  <c r="A225" i="9"/>
  <c r="A211" i="9"/>
  <c r="A194" i="9"/>
  <c r="A195" i="9"/>
  <c r="A196" i="9"/>
  <c r="A197" i="9"/>
  <c r="A198" i="9"/>
  <c r="A207" i="9"/>
  <c r="A193" i="9"/>
  <c r="A177" i="9"/>
  <c r="A178" i="9"/>
  <c r="A179" i="9"/>
  <c r="A180" i="9"/>
  <c r="A181" i="9"/>
  <c r="A190" i="9"/>
  <c r="A176" i="9"/>
  <c r="A128" i="9"/>
  <c r="A158" i="9"/>
  <c r="E123" i="9"/>
  <c r="A148" i="9"/>
  <c r="A144" i="9"/>
  <c r="A141" i="9"/>
  <c r="A131" i="9"/>
  <c r="A127" i="9"/>
  <c r="I163" i="9" l="1"/>
  <c r="T49" i="9"/>
  <c r="S49" i="9"/>
  <c r="S5" i="9"/>
  <c r="E77" i="9"/>
  <c r="C38" i="9"/>
  <c r="C51" i="9"/>
  <c r="E163" i="9"/>
  <c r="D61" i="9"/>
  <c r="J43" i="9" l="1"/>
  <c r="F43" i="9"/>
  <c r="B43" i="9"/>
  <c r="G41" i="9"/>
  <c r="C41" i="9"/>
  <c r="I43" i="9"/>
  <c r="J41" i="9"/>
  <c r="F41" i="9"/>
  <c r="B41" i="9"/>
  <c r="D43" i="9"/>
  <c r="I41" i="9"/>
  <c r="E41" i="9"/>
  <c r="G43" i="9"/>
  <c r="H41" i="9"/>
  <c r="E43" i="9"/>
  <c r="H43" i="9"/>
  <c r="C43" i="9"/>
  <c r="D41" i="9"/>
  <c r="J57" i="9"/>
  <c r="J67" i="9" s="1"/>
  <c r="A192" i="9" l="1"/>
  <c r="X16" i="9" l="1"/>
  <c r="V16" i="9"/>
  <c r="V12" i="9"/>
  <c r="X12" i="9"/>
  <c r="Q5" i="9"/>
  <c r="O5" i="9"/>
  <c r="B21" i="9" s="1"/>
  <c r="A210" i="9"/>
  <c r="A246" i="9" s="1"/>
  <c r="A227" i="9"/>
  <c r="A263" i="9" s="1"/>
  <c r="A112" i="9"/>
  <c r="A149" i="9" s="1"/>
  <c r="A108" i="9"/>
  <c r="A145" i="9" s="1"/>
  <c r="A94" i="9"/>
  <c r="A132" i="9" s="1"/>
  <c r="A90" i="9"/>
  <c r="D62" i="9"/>
  <c r="I57" i="9"/>
  <c r="I67" i="9" s="1"/>
  <c r="H57" i="9"/>
  <c r="H71" i="9" s="1"/>
  <c r="G57" i="9"/>
  <c r="G71" i="9" s="1"/>
  <c r="F57" i="9"/>
  <c r="F67" i="9" s="1"/>
  <c r="E57" i="9"/>
  <c r="E67" i="9" s="1"/>
  <c r="D57" i="9"/>
  <c r="D71" i="9" s="1"/>
  <c r="C57" i="9"/>
  <c r="C71" i="9" s="1"/>
  <c r="B57" i="9"/>
  <c r="B67" i="9" s="1"/>
  <c r="J68" i="9"/>
  <c r="I68" i="9"/>
  <c r="H68" i="9"/>
  <c r="G68" i="9"/>
  <c r="F68" i="9"/>
  <c r="E68" i="9"/>
  <c r="D68" i="9"/>
  <c r="C68" i="9"/>
  <c r="B68" i="9"/>
  <c r="J72" i="9"/>
  <c r="I72" i="9"/>
  <c r="H72" i="9"/>
  <c r="G72" i="9"/>
  <c r="F72" i="9"/>
  <c r="E72" i="9"/>
  <c r="D72" i="9"/>
  <c r="C72" i="9"/>
  <c r="B72" i="9"/>
  <c r="B19" i="9"/>
  <c r="C18" i="9"/>
  <c r="D18" i="9" s="1"/>
  <c r="E18" i="9" s="1"/>
  <c r="F18" i="9" s="1"/>
  <c r="G18" i="9" s="1"/>
  <c r="H18" i="9" s="1"/>
  <c r="I18" i="9" s="1"/>
  <c r="B15" i="9"/>
  <c r="B14" i="9"/>
  <c r="R5" i="9"/>
  <c r="T5" i="9" s="1"/>
  <c r="P5" i="9"/>
  <c r="N5" i="9"/>
  <c r="B20" i="9" s="1"/>
  <c r="E5" i="9"/>
  <c r="B13" i="9" s="1"/>
  <c r="D5" i="9"/>
  <c r="C5" i="9"/>
  <c r="B5" i="9"/>
  <c r="E80" i="9" l="1"/>
  <c r="B11" i="9"/>
  <c r="I21" i="9" s="1"/>
  <c r="F80" i="9"/>
  <c r="B9" i="9"/>
  <c r="B80" i="9" s="1"/>
  <c r="G80" i="9"/>
  <c r="B24" i="9"/>
  <c r="B26" i="9" s="1"/>
  <c r="C67" i="9"/>
  <c r="C69" i="9" s="1"/>
  <c r="C93" i="9" s="1"/>
  <c r="G67" i="9"/>
  <c r="G69" i="9" s="1"/>
  <c r="G94" i="9" s="1"/>
  <c r="F69" i="9"/>
  <c r="F94" i="9" s="1"/>
  <c r="C73" i="9"/>
  <c r="C111" i="9" s="1"/>
  <c r="G73" i="9"/>
  <c r="G107" i="9" s="1"/>
  <c r="H73" i="9"/>
  <c r="H121" i="9" s="1"/>
  <c r="H207" i="9" s="1"/>
  <c r="B69" i="9"/>
  <c r="B90" i="9" s="1"/>
  <c r="I69" i="9"/>
  <c r="I89" i="9" s="1"/>
  <c r="D67" i="9"/>
  <c r="H67" i="9"/>
  <c r="J18" i="9"/>
  <c r="K18" i="9" s="1"/>
  <c r="L18" i="9" s="1"/>
  <c r="M18" i="9" s="1"/>
  <c r="D73" i="9"/>
  <c r="D108" i="9" s="1"/>
  <c r="H21" i="9"/>
  <c r="D21" i="9"/>
  <c r="I19" i="9"/>
  <c r="B22" i="9"/>
  <c r="H19" i="9"/>
  <c r="E69" i="9"/>
  <c r="E71" i="9"/>
  <c r="A91" i="9"/>
  <c r="A129" i="9" s="1"/>
  <c r="A109" i="9"/>
  <c r="A146" i="9" s="1"/>
  <c r="A110" i="9"/>
  <c r="A147" i="9" s="1"/>
  <c r="J69" i="9"/>
  <c r="J89" i="9" s="1"/>
  <c r="I71" i="9"/>
  <c r="I73" i="9" s="1"/>
  <c r="I112" i="9" s="1"/>
  <c r="A92" i="9"/>
  <c r="A130" i="9" s="1"/>
  <c r="B71" i="9"/>
  <c r="F71" i="9"/>
  <c r="J71" i="9"/>
  <c r="J73" i="9" s="1"/>
  <c r="B23" i="9"/>
  <c r="A95" i="9"/>
  <c r="A113" i="9"/>
  <c r="A133" i="9" l="1"/>
  <c r="A253" i="9"/>
  <c r="A217" i="9"/>
  <c r="A150" i="9"/>
  <c r="A199" i="9"/>
  <c r="A270" i="9"/>
  <c r="A234" i="9"/>
  <c r="A182" i="9"/>
  <c r="H127" i="9"/>
  <c r="C19" i="9"/>
  <c r="B10" i="9"/>
  <c r="C20" i="9" s="1"/>
  <c r="D80" i="9"/>
  <c r="D69" i="9"/>
  <c r="I62" i="9" s="1"/>
  <c r="H69" i="9"/>
  <c r="M62" i="9" s="1"/>
  <c r="N62" i="9"/>
  <c r="L62" i="9"/>
  <c r="H80" i="9"/>
  <c r="I80" i="9"/>
  <c r="J94" i="9"/>
  <c r="I198" i="9"/>
  <c r="I233" i="9" s="1"/>
  <c r="B177" i="9"/>
  <c r="B212" i="9" s="1"/>
  <c r="J176" i="9"/>
  <c r="J211" i="9" s="1"/>
  <c r="H242" i="9"/>
  <c r="G181" i="9"/>
  <c r="G216" i="9" s="1"/>
  <c r="D194" i="9"/>
  <c r="D229" i="9" s="1"/>
  <c r="G193" i="9"/>
  <c r="G228" i="9" s="1"/>
  <c r="C180" i="9"/>
  <c r="C215" i="9" s="1"/>
  <c r="F181" i="9"/>
  <c r="F216" i="9" s="1"/>
  <c r="I176" i="9"/>
  <c r="I211" i="9" s="1"/>
  <c r="C197" i="9"/>
  <c r="C232" i="9" s="1"/>
  <c r="H20" i="9"/>
  <c r="F19" i="9"/>
  <c r="F24" i="9"/>
  <c r="F26" i="9" s="1"/>
  <c r="C21" i="9"/>
  <c r="E21" i="9"/>
  <c r="M19" i="9"/>
  <c r="G19" i="9"/>
  <c r="F21" i="9"/>
  <c r="E19" i="9"/>
  <c r="G21" i="9"/>
  <c r="D20" i="9"/>
  <c r="M21" i="9"/>
  <c r="D19" i="9"/>
  <c r="K19" i="9"/>
  <c r="K20" i="9"/>
  <c r="L21" i="9"/>
  <c r="L24" i="9"/>
  <c r="L26" i="9" s="1"/>
  <c r="J19" i="9"/>
  <c r="J20" i="9"/>
  <c r="J21" i="9"/>
  <c r="K21" i="9"/>
  <c r="B12" i="9"/>
  <c r="H24" i="9"/>
  <c r="H26" i="9" s="1"/>
  <c r="K24" i="9"/>
  <c r="K26" i="9" s="1"/>
  <c r="G108" i="9"/>
  <c r="G112" i="9"/>
  <c r="D24" i="9"/>
  <c r="D26" i="9" s="1"/>
  <c r="G24" i="9"/>
  <c r="G26" i="9" s="1"/>
  <c r="G20" i="9"/>
  <c r="F20" i="9"/>
  <c r="G121" i="9"/>
  <c r="I24" i="9"/>
  <c r="I26" i="9" s="1"/>
  <c r="L20" i="9"/>
  <c r="C24" i="9"/>
  <c r="C26" i="9" s="1"/>
  <c r="J24" i="9"/>
  <c r="J26" i="9" s="1"/>
  <c r="E24" i="9"/>
  <c r="E26" i="9" s="1"/>
  <c r="B73" i="9"/>
  <c r="B107" i="9" s="1"/>
  <c r="G111" i="9"/>
  <c r="B89" i="9"/>
  <c r="F89" i="9"/>
  <c r="I103" i="9"/>
  <c r="I190" i="9" s="1"/>
  <c r="E90" i="9"/>
  <c r="I90" i="9"/>
  <c r="G89" i="9"/>
  <c r="H112" i="9"/>
  <c r="F93" i="9"/>
  <c r="F90" i="9"/>
  <c r="H111" i="9"/>
  <c r="F103" i="9"/>
  <c r="F190" i="9" s="1"/>
  <c r="E94" i="9"/>
  <c r="F132" i="9" s="1"/>
  <c r="I108" i="9"/>
  <c r="C121" i="9"/>
  <c r="C108" i="9"/>
  <c r="D145" i="9" s="1"/>
  <c r="C107" i="9"/>
  <c r="C112" i="9"/>
  <c r="I94" i="9"/>
  <c r="P62" i="9"/>
  <c r="I93" i="9"/>
  <c r="C89" i="9"/>
  <c r="K63" i="9"/>
  <c r="I63" i="9"/>
  <c r="G103" i="9"/>
  <c r="C90" i="9"/>
  <c r="P73" i="9"/>
  <c r="C94" i="9"/>
  <c r="H107" i="9"/>
  <c r="G144" i="9" s="1"/>
  <c r="C103" i="9"/>
  <c r="G93" i="9"/>
  <c r="H108" i="9"/>
  <c r="G90" i="9"/>
  <c r="D112" i="9"/>
  <c r="J63" i="9"/>
  <c r="J111" i="9"/>
  <c r="J121" i="9"/>
  <c r="J107" i="9"/>
  <c r="Q73" i="9"/>
  <c r="J112" i="9"/>
  <c r="H149" i="9" s="1"/>
  <c r="H92" i="9"/>
  <c r="G92" i="9"/>
  <c r="C92" i="9"/>
  <c r="J92" i="9"/>
  <c r="F92" i="9"/>
  <c r="B92" i="9"/>
  <c r="I92" i="9"/>
  <c r="E92" i="9"/>
  <c r="J103" i="9"/>
  <c r="J93" i="9"/>
  <c r="Q69" i="9"/>
  <c r="J91" i="9"/>
  <c r="F91" i="9"/>
  <c r="B91" i="9"/>
  <c r="I91" i="9"/>
  <c r="E91" i="9"/>
  <c r="H91" i="9"/>
  <c r="G91" i="9"/>
  <c r="C91" i="9"/>
  <c r="J22" i="9"/>
  <c r="F22" i="9"/>
  <c r="M22" i="9"/>
  <c r="I22" i="9"/>
  <c r="E22" i="9"/>
  <c r="L22" i="9"/>
  <c r="H22" i="9"/>
  <c r="D22" i="9"/>
  <c r="G22" i="9"/>
  <c r="K22" i="9"/>
  <c r="C22" i="9"/>
  <c r="J113" i="9"/>
  <c r="G113" i="9"/>
  <c r="A114" i="9"/>
  <c r="H113" i="9"/>
  <c r="D113" i="9"/>
  <c r="C113" i="9"/>
  <c r="D150" i="9" s="1"/>
  <c r="I113" i="9"/>
  <c r="F73" i="9"/>
  <c r="M63" i="9" s="1"/>
  <c r="O63" i="9" s="1"/>
  <c r="H103" i="9"/>
  <c r="H190" i="9" s="1"/>
  <c r="H94" i="9"/>
  <c r="G132" i="9" s="1"/>
  <c r="H89" i="9"/>
  <c r="H93" i="9"/>
  <c r="P69" i="9"/>
  <c r="I109" i="9"/>
  <c r="H109" i="9"/>
  <c r="D109" i="9"/>
  <c r="C109" i="9"/>
  <c r="J109" i="9"/>
  <c r="H146" i="9" s="1"/>
  <c r="G109" i="9"/>
  <c r="G146" i="9" s="1"/>
  <c r="D107" i="9"/>
  <c r="D121" i="9"/>
  <c r="D207" i="9" s="1"/>
  <c r="D111" i="9"/>
  <c r="D148" i="9" s="1"/>
  <c r="M73" i="9"/>
  <c r="K23" i="9"/>
  <c r="K25" i="9" s="1"/>
  <c r="G23" i="9"/>
  <c r="G25" i="9" s="1"/>
  <c r="C23" i="9"/>
  <c r="C25" i="9" s="1"/>
  <c r="J23" i="9"/>
  <c r="J25" i="9" s="1"/>
  <c r="F23" i="9"/>
  <c r="F25" i="9" s="1"/>
  <c r="M23" i="9"/>
  <c r="M25" i="9" s="1"/>
  <c r="I23" i="9"/>
  <c r="I25" i="9" s="1"/>
  <c r="E23" i="9"/>
  <c r="E25" i="9" s="1"/>
  <c r="H23" i="9"/>
  <c r="H25" i="9" s="1"/>
  <c r="L23" i="9"/>
  <c r="L25" i="9" s="1"/>
  <c r="B25" i="9"/>
  <c r="D23" i="9"/>
  <c r="D25" i="9" s="1"/>
  <c r="G110" i="9"/>
  <c r="C110" i="9"/>
  <c r="J110" i="9"/>
  <c r="D110" i="9"/>
  <c r="I110" i="9"/>
  <c r="H110" i="9"/>
  <c r="J90" i="9"/>
  <c r="H90" i="9"/>
  <c r="E73" i="9"/>
  <c r="E109" i="9" s="1"/>
  <c r="C80" i="9"/>
  <c r="E20" i="9"/>
  <c r="M20" i="9"/>
  <c r="I20" i="9"/>
  <c r="N18" i="9"/>
  <c r="N22" i="9" s="1"/>
  <c r="M24" i="9"/>
  <c r="M26" i="9" s="1"/>
  <c r="N63" i="9"/>
  <c r="P63" i="9" s="1"/>
  <c r="I95" i="9"/>
  <c r="E95" i="9"/>
  <c r="H95" i="9"/>
  <c r="J95" i="9"/>
  <c r="B95" i="9"/>
  <c r="G95" i="9"/>
  <c r="F95" i="9"/>
  <c r="C95" i="9"/>
  <c r="A96" i="9"/>
  <c r="I107" i="9"/>
  <c r="I111" i="9"/>
  <c r="I121" i="9"/>
  <c r="I207" i="9" s="1"/>
  <c r="J108" i="9"/>
  <c r="E103" i="9"/>
  <c r="E89" i="9"/>
  <c r="O69" i="9"/>
  <c r="E93" i="9"/>
  <c r="B103" i="9"/>
  <c r="B93" i="9"/>
  <c r="B94" i="9"/>
  <c r="L19" i="9"/>
  <c r="K69" i="9" l="1"/>
  <c r="L69" i="9" s="1"/>
  <c r="A151" i="9"/>
  <c r="A235" i="9"/>
  <c r="A183" i="9"/>
  <c r="A200" i="9"/>
  <c r="A271" i="9"/>
  <c r="A134" i="9"/>
  <c r="A254" i="9"/>
  <c r="A218" i="9"/>
  <c r="H131" i="9"/>
  <c r="F131" i="9"/>
  <c r="H133" i="9"/>
  <c r="G207" i="9"/>
  <c r="G158" i="9"/>
  <c r="H128" i="9"/>
  <c r="C207" i="9"/>
  <c r="D158" i="9"/>
  <c r="J207" i="9"/>
  <c r="J242" i="9" s="1"/>
  <c r="H158" i="9"/>
  <c r="G129" i="9"/>
  <c r="G130" i="9"/>
  <c r="D94" i="9"/>
  <c r="B132" i="9" s="1"/>
  <c r="C132" i="9" s="1"/>
  <c r="G133" i="9"/>
  <c r="F133" i="9"/>
  <c r="J62" i="9"/>
  <c r="C81" i="9" s="1"/>
  <c r="F127" i="9"/>
  <c r="H145" i="9"/>
  <c r="G147" i="9"/>
  <c r="E190" i="9"/>
  <c r="E225" i="9" s="1"/>
  <c r="F141" i="9"/>
  <c r="D147" i="9"/>
  <c r="D146" i="9"/>
  <c r="G150" i="9"/>
  <c r="F129" i="9"/>
  <c r="H129" i="9"/>
  <c r="F130" i="9"/>
  <c r="H130" i="9"/>
  <c r="H148" i="9"/>
  <c r="F128" i="9"/>
  <c r="G148" i="9"/>
  <c r="G149" i="9"/>
  <c r="J181" i="9"/>
  <c r="J216" i="9" s="1"/>
  <c r="H132" i="9"/>
  <c r="H150" i="9"/>
  <c r="G131" i="9"/>
  <c r="B144" i="9"/>
  <c r="C144" i="9" s="1"/>
  <c r="G145" i="9"/>
  <c r="H144" i="9"/>
  <c r="C190" i="9"/>
  <c r="D149" i="9"/>
  <c r="G127" i="9"/>
  <c r="H147" i="9"/>
  <c r="J190" i="9"/>
  <c r="H141" i="9"/>
  <c r="G128" i="9"/>
  <c r="G190" i="9"/>
  <c r="G225" i="9" s="1"/>
  <c r="G141" i="9"/>
  <c r="D144" i="9"/>
  <c r="D90" i="9"/>
  <c r="B128" i="9" s="1"/>
  <c r="C128" i="9" s="1"/>
  <c r="D103" i="9"/>
  <c r="D190" i="9" s="1"/>
  <c r="D93" i="9"/>
  <c r="D131" i="9" s="1"/>
  <c r="D91" i="9"/>
  <c r="D129" i="9" s="1"/>
  <c r="D95" i="9"/>
  <c r="B133" i="9" s="1"/>
  <c r="D89" i="9"/>
  <c r="B127" i="9" s="1"/>
  <c r="D92" i="9"/>
  <c r="D130" i="9" s="1"/>
  <c r="M69" i="9"/>
  <c r="N69" i="9" s="1"/>
  <c r="E81" i="9"/>
  <c r="O62" i="9"/>
  <c r="K62" i="9"/>
  <c r="F81" i="9"/>
  <c r="P103" i="9" s="1"/>
  <c r="L63" i="9"/>
  <c r="B190" i="9"/>
  <c r="B225" i="9" s="1"/>
  <c r="B180" i="9"/>
  <c r="B215" i="9" s="1"/>
  <c r="I197" i="9"/>
  <c r="I232" i="9" s="1"/>
  <c r="F182" i="9"/>
  <c r="F217" i="9" s="1"/>
  <c r="H177" i="9"/>
  <c r="H212" i="9" s="1"/>
  <c r="D196" i="9"/>
  <c r="D231" i="9" s="1"/>
  <c r="H180" i="9"/>
  <c r="H215" i="9" s="1"/>
  <c r="H199" i="9"/>
  <c r="H234" i="9" s="1"/>
  <c r="D176" i="9"/>
  <c r="D211" i="9" s="1"/>
  <c r="J225" i="9"/>
  <c r="F179" i="9"/>
  <c r="F214" i="9" s="1"/>
  <c r="D198" i="9"/>
  <c r="D233" i="9" s="1"/>
  <c r="C242" i="9"/>
  <c r="H197" i="9"/>
  <c r="H232" i="9" s="1"/>
  <c r="I225" i="9"/>
  <c r="G194" i="9"/>
  <c r="G229" i="9" s="1"/>
  <c r="J196" i="9"/>
  <c r="J231" i="9" s="1"/>
  <c r="G195" i="9"/>
  <c r="G230" i="9" s="1"/>
  <c r="H195" i="9"/>
  <c r="H230" i="9" s="1"/>
  <c r="H176" i="9"/>
  <c r="H211" i="9" s="1"/>
  <c r="I199" i="9"/>
  <c r="I234" i="9" s="1"/>
  <c r="J199" i="9"/>
  <c r="J234" i="9" s="1"/>
  <c r="C178" i="9"/>
  <c r="C213" i="9" s="1"/>
  <c r="E178" i="9"/>
  <c r="E213" i="9" s="1"/>
  <c r="J178" i="9"/>
  <c r="J213" i="9" s="1"/>
  <c r="E179" i="9"/>
  <c r="E214" i="9" s="1"/>
  <c r="J179" i="9"/>
  <c r="J214" i="9" s="1"/>
  <c r="H179" i="9"/>
  <c r="H214" i="9" s="1"/>
  <c r="G177" i="9"/>
  <c r="G212" i="9" s="1"/>
  <c r="C225" i="9"/>
  <c r="C177" i="9"/>
  <c r="C212" i="9" s="1"/>
  <c r="C176" i="9"/>
  <c r="C211" i="9" s="1"/>
  <c r="C198" i="9"/>
  <c r="C233" i="9" s="1"/>
  <c r="I194" i="9"/>
  <c r="I229" i="9" s="1"/>
  <c r="D181" i="9"/>
  <c r="D216" i="9" s="1"/>
  <c r="G176" i="9"/>
  <c r="G211" i="9" s="1"/>
  <c r="F176" i="9"/>
  <c r="F211" i="9" s="1"/>
  <c r="D195" i="9"/>
  <c r="D230" i="9" s="1"/>
  <c r="G199" i="9"/>
  <c r="G234" i="9" s="1"/>
  <c r="H178" i="9"/>
  <c r="H213" i="9" s="1"/>
  <c r="J193" i="9"/>
  <c r="J228" i="9" s="1"/>
  <c r="I181" i="9"/>
  <c r="I216" i="9" s="1"/>
  <c r="B193" i="9"/>
  <c r="B228" i="9" s="1"/>
  <c r="G182" i="9"/>
  <c r="G217" i="9" s="1"/>
  <c r="H182" i="9"/>
  <c r="H217" i="9" s="1"/>
  <c r="J177" i="9"/>
  <c r="J212" i="9" s="1"/>
  <c r="D197" i="9"/>
  <c r="D232" i="9" s="1"/>
  <c r="D268" i="9" s="1"/>
  <c r="B181" i="9"/>
  <c r="B216" i="9" s="1"/>
  <c r="E180" i="9"/>
  <c r="E215" i="9" s="1"/>
  <c r="J194" i="9"/>
  <c r="J229" i="9" s="1"/>
  <c r="B182" i="9"/>
  <c r="B217" i="9" s="1"/>
  <c r="E182" i="9"/>
  <c r="E217" i="9" s="1"/>
  <c r="H196" i="9"/>
  <c r="H231" i="9" s="1"/>
  <c r="C196" i="9"/>
  <c r="C231" i="9" s="1"/>
  <c r="D242" i="9"/>
  <c r="J195" i="9"/>
  <c r="J230" i="9" s="1"/>
  <c r="I195" i="9"/>
  <c r="I230" i="9" s="1"/>
  <c r="H181" i="9"/>
  <c r="H216" i="9" s="1"/>
  <c r="G252" i="9" s="1"/>
  <c r="C199" i="9"/>
  <c r="C234" i="9" s="1"/>
  <c r="G178" i="9"/>
  <c r="G213" i="9" s="1"/>
  <c r="I178" i="9"/>
  <c r="I213" i="9" s="1"/>
  <c r="I179" i="9"/>
  <c r="I214" i="9" s="1"/>
  <c r="C179" i="9"/>
  <c r="C214" i="9" s="1"/>
  <c r="J198" i="9"/>
  <c r="J233" i="9" s="1"/>
  <c r="H269" i="9" s="1"/>
  <c r="J197" i="9"/>
  <c r="J232" i="9" s="1"/>
  <c r="H194" i="9"/>
  <c r="H229" i="9" s="1"/>
  <c r="H193" i="9"/>
  <c r="H228" i="9" s="1"/>
  <c r="G264" i="9" s="1"/>
  <c r="I180" i="9"/>
  <c r="I215" i="9" s="1"/>
  <c r="C193" i="9"/>
  <c r="C228" i="9" s="1"/>
  <c r="E181" i="9"/>
  <c r="E216" i="9" s="1"/>
  <c r="F252" i="9" s="1"/>
  <c r="F177" i="9"/>
  <c r="F212" i="9" s="1"/>
  <c r="I177" i="9"/>
  <c r="I212" i="9" s="1"/>
  <c r="B176" i="9"/>
  <c r="B211" i="9" s="1"/>
  <c r="G242" i="9"/>
  <c r="E176" i="9"/>
  <c r="E211" i="9" s="1"/>
  <c r="F178" i="9"/>
  <c r="F213" i="9" s="1"/>
  <c r="H198" i="9"/>
  <c r="H233" i="9" s="1"/>
  <c r="I193" i="9"/>
  <c r="I228" i="9" s="1"/>
  <c r="I242" i="9"/>
  <c r="C182" i="9"/>
  <c r="C217" i="9" s="1"/>
  <c r="J182" i="9"/>
  <c r="J217" i="9" s="1"/>
  <c r="I182" i="9"/>
  <c r="I217" i="9" s="1"/>
  <c r="E195" i="9"/>
  <c r="E230" i="9" s="1"/>
  <c r="I196" i="9"/>
  <c r="I231" i="9" s="1"/>
  <c r="G196" i="9"/>
  <c r="G231" i="9" s="1"/>
  <c r="D193" i="9"/>
  <c r="D228" i="9" s="1"/>
  <c r="C195" i="9"/>
  <c r="C230" i="9" s="1"/>
  <c r="H225" i="9"/>
  <c r="D199" i="9"/>
  <c r="D234" i="9" s="1"/>
  <c r="B113" i="9"/>
  <c r="B150" i="9" s="1"/>
  <c r="C150" i="9" s="1"/>
  <c r="D178" i="9"/>
  <c r="D213" i="9" s="1"/>
  <c r="B178" i="9"/>
  <c r="B213" i="9" s="1"/>
  <c r="J180" i="9"/>
  <c r="J215" i="9" s="1"/>
  <c r="B179" i="9"/>
  <c r="B214" i="9" s="1"/>
  <c r="G179" i="9"/>
  <c r="G214" i="9" s="1"/>
  <c r="G180" i="9"/>
  <c r="G215" i="9" s="1"/>
  <c r="C181" i="9"/>
  <c r="C216" i="9" s="1"/>
  <c r="C194" i="9"/>
  <c r="C229" i="9" s="1"/>
  <c r="D265" i="9" s="1"/>
  <c r="F225" i="9"/>
  <c r="F180" i="9"/>
  <c r="F215" i="9" s="1"/>
  <c r="E177" i="9"/>
  <c r="E212" i="9" s="1"/>
  <c r="G197" i="9"/>
  <c r="G232" i="9" s="1"/>
  <c r="G198" i="9"/>
  <c r="G233" i="9" s="1"/>
  <c r="K73" i="9"/>
  <c r="L73" i="9" s="1"/>
  <c r="C82" i="9" s="1"/>
  <c r="M108" i="9" s="1"/>
  <c r="B112" i="9"/>
  <c r="B149" i="9" s="1"/>
  <c r="C149" i="9" s="1"/>
  <c r="B111" i="9"/>
  <c r="B148" i="9" s="1"/>
  <c r="C148" i="9" s="1"/>
  <c r="B109" i="9"/>
  <c r="B146" i="9" s="1"/>
  <c r="C146" i="9" s="1"/>
  <c r="B110" i="9"/>
  <c r="B147" i="9" s="1"/>
  <c r="C147" i="9" s="1"/>
  <c r="B121" i="9"/>
  <c r="B108" i="9"/>
  <c r="B145" i="9" s="1"/>
  <c r="C145" i="9" s="1"/>
  <c r="F109" i="9"/>
  <c r="F146" i="9" s="1"/>
  <c r="B81" i="9"/>
  <c r="G81" i="9"/>
  <c r="Q89" i="9" s="1"/>
  <c r="Q127" i="9" s="1"/>
  <c r="F113" i="9"/>
  <c r="F110" i="9"/>
  <c r="F82" i="9"/>
  <c r="O89" i="9"/>
  <c r="O95" i="9"/>
  <c r="O133" i="9" s="1"/>
  <c r="E107" i="9"/>
  <c r="E111" i="9"/>
  <c r="E121" i="9"/>
  <c r="E112" i="9"/>
  <c r="O73" i="9"/>
  <c r="E108" i="9"/>
  <c r="H114" i="9"/>
  <c r="D114" i="9"/>
  <c r="J114" i="9"/>
  <c r="E114" i="9"/>
  <c r="A115" i="9"/>
  <c r="I114" i="9"/>
  <c r="C114" i="9"/>
  <c r="G114" i="9"/>
  <c r="F114" i="9"/>
  <c r="B114" i="9"/>
  <c r="B151" i="9" s="1"/>
  <c r="C151" i="9" s="1"/>
  <c r="D82" i="9"/>
  <c r="A97" i="9"/>
  <c r="G96" i="9"/>
  <c r="C96" i="9"/>
  <c r="J96" i="9"/>
  <c r="F96" i="9"/>
  <c r="B96" i="9"/>
  <c r="H96" i="9"/>
  <c r="E96" i="9"/>
  <c r="D96" i="9"/>
  <c r="I96" i="9"/>
  <c r="O18" i="9"/>
  <c r="N21" i="9"/>
  <c r="N19" i="9"/>
  <c r="N20" i="9"/>
  <c r="N24" i="9"/>
  <c r="N26" i="9" s="1"/>
  <c r="E110" i="9"/>
  <c r="F147" i="9" s="1"/>
  <c r="N23" i="9"/>
  <c r="N25" i="9" s="1"/>
  <c r="E113" i="9"/>
  <c r="H247" i="9"/>
  <c r="G82" i="9"/>
  <c r="F111" i="9"/>
  <c r="F121" i="9"/>
  <c r="F207" i="9" s="1"/>
  <c r="F107" i="9"/>
  <c r="F108" i="9"/>
  <c r="F112" i="9"/>
  <c r="O127" i="9" l="1"/>
  <c r="G251" i="9"/>
  <c r="H252" i="9"/>
  <c r="A152" i="9"/>
  <c r="A272" i="9"/>
  <c r="A236" i="9"/>
  <c r="A184" i="9"/>
  <c r="A201" i="9"/>
  <c r="A135" i="9"/>
  <c r="A255" i="9"/>
  <c r="A219" i="9"/>
  <c r="O93" i="9"/>
  <c r="O131" i="9" s="1"/>
  <c r="O92" i="9"/>
  <c r="O130" i="9" s="1"/>
  <c r="H81" i="9"/>
  <c r="P89" i="9"/>
  <c r="P127" i="9" s="1"/>
  <c r="D132" i="9"/>
  <c r="C127" i="9"/>
  <c r="D127" i="9"/>
  <c r="E127" i="9" s="1"/>
  <c r="L89" i="9"/>
  <c r="L127" i="9" s="1"/>
  <c r="I247" i="9" s="1"/>
  <c r="M145" i="9"/>
  <c r="L194" i="9" s="1"/>
  <c r="D225" i="9"/>
  <c r="D151" i="9"/>
  <c r="E151" i="9" s="1"/>
  <c r="B207" i="9"/>
  <c r="B242" i="9" s="1"/>
  <c r="B158" i="9"/>
  <c r="C158" i="9" s="1"/>
  <c r="E207" i="9"/>
  <c r="E242" i="9" s="1"/>
  <c r="F158" i="9"/>
  <c r="O91" i="9"/>
  <c r="O129" i="9" s="1"/>
  <c r="D81" i="9"/>
  <c r="N92" i="9" s="1"/>
  <c r="N130" i="9" s="1"/>
  <c r="G134" i="9"/>
  <c r="P91" i="9"/>
  <c r="P129" i="9" s="1"/>
  <c r="G151" i="9"/>
  <c r="F151" i="9"/>
  <c r="O90" i="9"/>
  <c r="O128" i="9" s="1"/>
  <c r="C133" i="9"/>
  <c r="D128" i="9"/>
  <c r="E128" i="9" s="1"/>
  <c r="O94" i="9"/>
  <c r="O132" i="9" s="1"/>
  <c r="O103" i="9"/>
  <c r="D177" i="9"/>
  <c r="D212" i="9" s="1"/>
  <c r="B248" i="9" s="1"/>
  <c r="F150" i="9"/>
  <c r="D182" i="9"/>
  <c r="D217" i="9" s="1"/>
  <c r="D253" i="9" s="1"/>
  <c r="D133" i="9"/>
  <c r="E133" i="9" s="1"/>
  <c r="H151" i="9"/>
  <c r="E132" i="9"/>
  <c r="E146" i="9"/>
  <c r="F134" i="9"/>
  <c r="H134" i="9"/>
  <c r="F149" i="9"/>
  <c r="E144" i="9"/>
  <c r="B131" i="9"/>
  <c r="C131" i="9" s="1"/>
  <c r="B130" i="9"/>
  <c r="C130" i="9" s="1"/>
  <c r="E147" i="9"/>
  <c r="B141" i="9"/>
  <c r="C141" i="9" s="1"/>
  <c r="D134" i="9"/>
  <c r="D179" i="9"/>
  <c r="D214" i="9" s="1"/>
  <c r="D250" i="9" s="1"/>
  <c r="D180" i="9"/>
  <c r="D215" i="9" s="1"/>
  <c r="D251" i="9" s="1"/>
  <c r="D141" i="9"/>
  <c r="E141" i="9" s="1"/>
  <c r="E145" i="9"/>
  <c r="E148" i="9"/>
  <c r="F144" i="9"/>
  <c r="B134" i="9"/>
  <c r="C134" i="9" s="1"/>
  <c r="F145" i="9"/>
  <c r="F148" i="9"/>
  <c r="E150" i="9"/>
  <c r="E149" i="9"/>
  <c r="B129" i="9"/>
  <c r="C129" i="9" s="1"/>
  <c r="P94" i="9"/>
  <c r="P132" i="9" s="1"/>
  <c r="P92" i="9"/>
  <c r="P130" i="9" s="1"/>
  <c r="P93" i="9"/>
  <c r="P131" i="9" s="1"/>
  <c r="P90" i="9"/>
  <c r="P128" i="9" s="1"/>
  <c r="P95" i="9"/>
  <c r="P133" i="9" s="1"/>
  <c r="H268" i="9"/>
  <c r="B247" i="9"/>
  <c r="H265" i="9"/>
  <c r="G247" i="9"/>
  <c r="D247" i="9"/>
  <c r="I82" i="9"/>
  <c r="R103" i="9"/>
  <c r="H82" i="9"/>
  <c r="R92" i="9"/>
  <c r="I81" i="9"/>
  <c r="D252" i="9"/>
  <c r="G269" i="9"/>
  <c r="G268" i="9"/>
  <c r="M96" i="9"/>
  <c r="M134" i="9" s="1"/>
  <c r="D269" i="9"/>
  <c r="G248" i="9"/>
  <c r="B252" i="9"/>
  <c r="C252" i="9" s="1"/>
  <c r="H251" i="9"/>
  <c r="D264" i="9"/>
  <c r="H248" i="9"/>
  <c r="B82" i="9"/>
  <c r="L111" i="9" s="1"/>
  <c r="L148" i="9" s="1"/>
  <c r="N73" i="9"/>
  <c r="F248" i="9"/>
  <c r="G265" i="9"/>
  <c r="F251" i="9"/>
  <c r="E183" i="9"/>
  <c r="E218" i="9" s="1"/>
  <c r="E200" i="9"/>
  <c r="E235" i="9" s="1"/>
  <c r="F199" i="9"/>
  <c r="F234" i="9" s="1"/>
  <c r="B199" i="9"/>
  <c r="B234" i="9" s="1"/>
  <c r="B270" i="9" s="1"/>
  <c r="C270" i="9" s="1"/>
  <c r="F198" i="9"/>
  <c r="F233" i="9" s="1"/>
  <c r="F197" i="9"/>
  <c r="F232" i="9" s="1"/>
  <c r="C183" i="9"/>
  <c r="C218" i="9" s="1"/>
  <c r="J200" i="9"/>
  <c r="J235" i="9" s="1"/>
  <c r="D270" i="9"/>
  <c r="J183" i="9"/>
  <c r="J218" i="9" s="1"/>
  <c r="C200" i="9"/>
  <c r="C235" i="9" s="1"/>
  <c r="E197" i="9"/>
  <c r="E232" i="9" s="1"/>
  <c r="G253" i="9"/>
  <c r="E199" i="9"/>
  <c r="E234" i="9" s="1"/>
  <c r="E196" i="9"/>
  <c r="E231" i="9" s="1"/>
  <c r="P96" i="9"/>
  <c r="H183" i="9"/>
  <c r="H218" i="9" s="1"/>
  <c r="I200" i="9"/>
  <c r="I235" i="9" s="1"/>
  <c r="E193" i="9"/>
  <c r="E228" i="9" s="1"/>
  <c r="B196" i="9"/>
  <c r="B231" i="9" s="1"/>
  <c r="B267" i="9" s="1"/>
  <c r="F194" i="9"/>
  <c r="F229" i="9" s="1"/>
  <c r="I183" i="9"/>
  <c r="I218" i="9" s="1"/>
  <c r="B183" i="9"/>
  <c r="B218" i="9" s="1"/>
  <c r="G183" i="9"/>
  <c r="G218" i="9" s="1"/>
  <c r="F200" i="9"/>
  <c r="F235" i="9" s="1"/>
  <c r="D200" i="9"/>
  <c r="D235" i="9" s="1"/>
  <c r="E198" i="9"/>
  <c r="E233" i="9" s="1"/>
  <c r="B195" i="9"/>
  <c r="B230" i="9" s="1"/>
  <c r="B266" i="9" s="1"/>
  <c r="F242" i="9"/>
  <c r="B200" i="9"/>
  <c r="B235" i="9" s="1"/>
  <c r="E194" i="9"/>
  <c r="E229" i="9" s="1"/>
  <c r="B198" i="9"/>
  <c r="B233" i="9" s="1"/>
  <c r="B269" i="9" s="1"/>
  <c r="F193" i="9"/>
  <c r="F228" i="9" s="1"/>
  <c r="D183" i="9"/>
  <c r="D218" i="9" s="1"/>
  <c r="O96" i="9"/>
  <c r="O134" i="9" s="1"/>
  <c r="F183" i="9"/>
  <c r="F218" i="9" s="1"/>
  <c r="G200" i="9"/>
  <c r="G235" i="9" s="1"/>
  <c r="H200" i="9"/>
  <c r="H235" i="9" s="1"/>
  <c r="F196" i="9"/>
  <c r="F231" i="9" s="1"/>
  <c r="F195" i="9"/>
  <c r="F230" i="9" s="1"/>
  <c r="F266" i="9" s="1"/>
  <c r="B194" i="9"/>
  <c r="B229" i="9" s="1"/>
  <c r="B265" i="9" s="1"/>
  <c r="B197" i="9"/>
  <c r="B232" i="9" s="1"/>
  <c r="B268" i="9" s="1"/>
  <c r="F247" i="9"/>
  <c r="E82" i="9"/>
  <c r="O121" i="9" s="1"/>
  <c r="G270" i="9"/>
  <c r="N96" i="9"/>
  <c r="N134" i="9" s="1"/>
  <c r="H270" i="9"/>
  <c r="R93" i="9"/>
  <c r="M114" i="9"/>
  <c r="M151" i="9" s="1"/>
  <c r="M109" i="9"/>
  <c r="M146" i="9" s="1"/>
  <c r="M107" i="9"/>
  <c r="M144" i="9" s="1"/>
  <c r="M112" i="9"/>
  <c r="M149" i="9" s="1"/>
  <c r="M121" i="9"/>
  <c r="M113" i="9"/>
  <c r="M150" i="9" s="1"/>
  <c r="M111" i="9"/>
  <c r="M148" i="9" s="1"/>
  <c r="M110" i="9"/>
  <c r="M147" i="9" s="1"/>
  <c r="Q90" i="9"/>
  <c r="Q128" i="9" s="1"/>
  <c r="Q103" i="9"/>
  <c r="Q96" i="9"/>
  <c r="Q134" i="9" s="1"/>
  <c r="Q92" i="9"/>
  <c r="Q130" i="9" s="1"/>
  <c r="H266" i="9"/>
  <c r="Q95" i="9"/>
  <c r="Q133" i="9" s="1"/>
  <c r="Q93" i="9"/>
  <c r="Q131" i="9" s="1"/>
  <c r="Q114" i="9"/>
  <c r="Q151" i="9" s="1"/>
  <c r="Q91" i="9"/>
  <c r="Q129" i="9" s="1"/>
  <c r="Q94" i="9"/>
  <c r="Q132" i="9" s="1"/>
  <c r="H250" i="9"/>
  <c r="F250" i="9"/>
  <c r="H267" i="9"/>
  <c r="H264" i="9"/>
  <c r="D249" i="9"/>
  <c r="B264" i="9"/>
  <c r="H253" i="9"/>
  <c r="D267" i="9"/>
  <c r="G249" i="9"/>
  <c r="M89" i="9"/>
  <c r="M127" i="9" s="1"/>
  <c r="M103" i="9"/>
  <c r="M93" i="9"/>
  <c r="M131" i="9" s="1"/>
  <c r="M90" i="9"/>
  <c r="M128" i="9" s="1"/>
  <c r="M94" i="9"/>
  <c r="M132" i="9" s="1"/>
  <c r="M92" i="9"/>
  <c r="M130" i="9" s="1"/>
  <c r="M91" i="9"/>
  <c r="M95" i="9"/>
  <c r="M133" i="9" s="1"/>
  <c r="I97" i="9"/>
  <c r="E97" i="9"/>
  <c r="H97" i="9"/>
  <c r="D97" i="9"/>
  <c r="F97" i="9"/>
  <c r="A98" i="9"/>
  <c r="C97" i="9"/>
  <c r="J97" i="9"/>
  <c r="B97" i="9"/>
  <c r="G97" i="9"/>
  <c r="G250" i="9"/>
  <c r="G267" i="9"/>
  <c r="F249" i="9"/>
  <c r="L103" i="9"/>
  <c r="L93" i="9"/>
  <c r="L131" i="9" s="1"/>
  <c r="L90" i="9"/>
  <c r="L128" i="9" s="1"/>
  <c r="L94" i="9"/>
  <c r="L132" i="9" s="1"/>
  <c r="L92" i="9"/>
  <c r="L130" i="9" s="1"/>
  <c r="L91" i="9"/>
  <c r="L129" i="9" s="1"/>
  <c r="L95" i="9"/>
  <c r="L133" i="9" s="1"/>
  <c r="N121" i="9"/>
  <c r="N107" i="9"/>
  <c r="N144" i="9" s="1"/>
  <c r="N111" i="9"/>
  <c r="N148" i="9" s="1"/>
  <c r="N112" i="9"/>
  <c r="N149" i="9" s="1"/>
  <c r="N108" i="9"/>
  <c r="N145" i="9" s="1"/>
  <c r="N110" i="9"/>
  <c r="N147" i="9" s="1"/>
  <c r="N109" i="9"/>
  <c r="N146" i="9" s="1"/>
  <c r="N113" i="9"/>
  <c r="N150" i="9" s="1"/>
  <c r="N114" i="9"/>
  <c r="J115" i="9"/>
  <c r="F115" i="9"/>
  <c r="B115" i="9"/>
  <c r="A116" i="9"/>
  <c r="H115" i="9"/>
  <c r="C115" i="9"/>
  <c r="G115" i="9"/>
  <c r="E115" i="9"/>
  <c r="I115" i="9"/>
  <c r="D115" i="9"/>
  <c r="P114" i="9"/>
  <c r="P151" i="9" s="1"/>
  <c r="P121" i="9"/>
  <c r="P107" i="9"/>
  <c r="P144" i="9" s="1"/>
  <c r="P111" i="9"/>
  <c r="P148" i="9" s="1"/>
  <c r="P108" i="9"/>
  <c r="P145" i="9" s="1"/>
  <c r="P112" i="9"/>
  <c r="P149" i="9" s="1"/>
  <c r="P113" i="9"/>
  <c r="P150" i="9" s="1"/>
  <c r="P110" i="9"/>
  <c r="P147" i="9" s="1"/>
  <c r="P109" i="9"/>
  <c r="P146" i="9" s="1"/>
  <c r="P18" i="9"/>
  <c r="O24" i="9"/>
  <c r="O26" i="9" s="1"/>
  <c r="O19" i="9"/>
  <c r="O21" i="9"/>
  <c r="O20" i="9"/>
  <c r="O23" i="9"/>
  <c r="O25" i="9" s="1"/>
  <c r="O22" i="9"/>
  <c r="Q107" i="9"/>
  <c r="Q144" i="9" s="1"/>
  <c r="Q121" i="9"/>
  <c r="Q111" i="9"/>
  <c r="Q148" i="9" s="1"/>
  <c r="Q112" i="9"/>
  <c r="Q149" i="9" s="1"/>
  <c r="Q108" i="9"/>
  <c r="Q145" i="9" s="1"/>
  <c r="Q109" i="9"/>
  <c r="Q146" i="9" s="1"/>
  <c r="Q113" i="9"/>
  <c r="Q150" i="9" s="1"/>
  <c r="Q110" i="9"/>
  <c r="Q147" i="9" s="1"/>
  <c r="H249" i="9"/>
  <c r="L96" i="9"/>
  <c r="L134" i="9" s="1"/>
  <c r="G266" i="9"/>
  <c r="F253" i="9"/>
  <c r="B251" i="9"/>
  <c r="B249" i="9"/>
  <c r="D266" i="9"/>
  <c r="E158" i="9" l="1"/>
  <c r="P134" i="9"/>
  <c r="R134" i="9" s="1"/>
  <c r="J265" i="9"/>
  <c r="B253" i="9"/>
  <c r="A153" i="9"/>
  <c r="A273" i="9"/>
  <c r="A237" i="9"/>
  <c r="A185" i="9"/>
  <c r="A202" i="9"/>
  <c r="A136" i="9"/>
  <c r="A220" i="9"/>
  <c r="A256" i="9"/>
  <c r="K176" i="9"/>
  <c r="N103" i="9"/>
  <c r="D248" i="9"/>
  <c r="E248" i="9" s="1"/>
  <c r="B250" i="9"/>
  <c r="M129" i="9"/>
  <c r="N93" i="9"/>
  <c r="N131" i="9" s="1"/>
  <c r="M180" i="9" s="1"/>
  <c r="N90" i="9"/>
  <c r="N128" i="9" s="1"/>
  <c r="K248" i="9" s="1"/>
  <c r="N151" i="9"/>
  <c r="N91" i="9"/>
  <c r="N129" i="9" s="1"/>
  <c r="K249" i="9" s="1"/>
  <c r="S249" i="9" s="1"/>
  <c r="N89" i="9"/>
  <c r="R91" i="9"/>
  <c r="N95" i="9"/>
  <c r="N133" i="9" s="1"/>
  <c r="N94" i="9"/>
  <c r="N132" i="9" s="1"/>
  <c r="K252" i="9" s="1"/>
  <c r="S252" i="9" s="1"/>
  <c r="L253" i="9"/>
  <c r="T253" i="9" s="1"/>
  <c r="N182" i="9"/>
  <c r="L247" i="9"/>
  <c r="T247" i="9" s="1"/>
  <c r="N176" i="9"/>
  <c r="S147" i="9"/>
  <c r="N267" i="9"/>
  <c r="P196" i="9"/>
  <c r="S148" i="9"/>
  <c r="N268" i="9"/>
  <c r="P197" i="9"/>
  <c r="I254" i="9"/>
  <c r="K183" i="9"/>
  <c r="S146" i="9"/>
  <c r="P195" i="9"/>
  <c r="N266" i="9"/>
  <c r="R150" i="9"/>
  <c r="M270" i="9"/>
  <c r="U270" i="9" s="1"/>
  <c r="O199" i="9"/>
  <c r="R107" i="9"/>
  <c r="K267" i="9"/>
  <c r="S267" i="9" s="1"/>
  <c r="M196" i="9"/>
  <c r="K264" i="9"/>
  <c r="S264" i="9" s="1"/>
  <c r="M193" i="9"/>
  <c r="I250" i="9"/>
  <c r="K179" i="9"/>
  <c r="D135" i="9"/>
  <c r="J249" i="9"/>
  <c r="L178" i="9"/>
  <c r="J251" i="9"/>
  <c r="L180" i="9"/>
  <c r="N249" i="9"/>
  <c r="P178" i="9"/>
  <c r="S129" i="9"/>
  <c r="S128" i="9"/>
  <c r="N248" i="9"/>
  <c r="P177" i="9"/>
  <c r="J271" i="9"/>
  <c r="L200" i="9"/>
  <c r="M251" i="9"/>
  <c r="R131" i="9"/>
  <c r="O180" i="9"/>
  <c r="R145" i="9"/>
  <c r="M265" i="9"/>
  <c r="U265" i="9" s="1"/>
  <c r="O194" i="9"/>
  <c r="S145" i="9"/>
  <c r="N265" i="9"/>
  <c r="P194" i="9"/>
  <c r="S144" i="9"/>
  <c r="P193" i="9"/>
  <c r="N264" i="9"/>
  <c r="R149" i="9"/>
  <c r="M269" i="9"/>
  <c r="U269" i="9" s="1"/>
  <c r="O198" i="9"/>
  <c r="K271" i="9"/>
  <c r="M200" i="9"/>
  <c r="K265" i="9"/>
  <c r="S265" i="9" s="1"/>
  <c r="M194" i="9"/>
  <c r="I252" i="9"/>
  <c r="Q252" i="9" s="1"/>
  <c r="K181" i="9"/>
  <c r="J250" i="9"/>
  <c r="L179" i="9"/>
  <c r="S151" i="9"/>
  <c r="N271" i="9"/>
  <c r="P200" i="9"/>
  <c r="S130" i="9"/>
  <c r="N250" i="9"/>
  <c r="P179" i="9"/>
  <c r="J267" i="9"/>
  <c r="L196" i="9"/>
  <c r="J269" i="9"/>
  <c r="L198" i="9"/>
  <c r="M178" i="9"/>
  <c r="R89" i="9"/>
  <c r="R130" i="9"/>
  <c r="M250" i="9"/>
  <c r="O179" i="9"/>
  <c r="E131" i="9"/>
  <c r="Q247" i="9"/>
  <c r="S149" i="9"/>
  <c r="N269" i="9"/>
  <c r="P198" i="9"/>
  <c r="R151" i="9"/>
  <c r="O200" i="9"/>
  <c r="M271" i="9"/>
  <c r="K270" i="9"/>
  <c r="S270" i="9" s="1"/>
  <c r="M199" i="9"/>
  <c r="K269" i="9"/>
  <c r="S269" i="9" s="1"/>
  <c r="M198" i="9"/>
  <c r="I253" i="9"/>
  <c r="K182" i="9"/>
  <c r="I248" i="9"/>
  <c r="Q248" i="9" s="1"/>
  <c r="K177" i="9"/>
  <c r="L181" i="9"/>
  <c r="J252" i="9"/>
  <c r="R252" i="9" s="1"/>
  <c r="J247" i="9"/>
  <c r="L176" i="9"/>
  <c r="S132" i="9"/>
  <c r="N252" i="9"/>
  <c r="P181" i="9"/>
  <c r="N251" i="9"/>
  <c r="S131" i="9"/>
  <c r="P180" i="9"/>
  <c r="S134" i="9"/>
  <c r="P183" i="9"/>
  <c r="N254" i="9"/>
  <c r="J268" i="9"/>
  <c r="L197" i="9"/>
  <c r="J264" i="9"/>
  <c r="L193" i="9"/>
  <c r="K253" i="9"/>
  <c r="S253" i="9" s="1"/>
  <c r="M182" i="9"/>
  <c r="I268" i="9"/>
  <c r="Q268" i="9" s="1"/>
  <c r="K197" i="9"/>
  <c r="L183" i="9"/>
  <c r="J254" i="9"/>
  <c r="R133" i="9"/>
  <c r="M253" i="9"/>
  <c r="O182" i="9"/>
  <c r="R132" i="9"/>
  <c r="M252" i="9"/>
  <c r="O181" i="9"/>
  <c r="R146" i="9"/>
  <c r="M266" i="9"/>
  <c r="O195" i="9"/>
  <c r="S150" i="9"/>
  <c r="N270" i="9"/>
  <c r="P199" i="9"/>
  <c r="R147" i="9"/>
  <c r="M267" i="9"/>
  <c r="U267" i="9" s="1"/>
  <c r="O196" i="9"/>
  <c r="R148" i="9"/>
  <c r="M268" i="9"/>
  <c r="U268" i="9" s="1"/>
  <c r="O197" i="9"/>
  <c r="K266" i="9"/>
  <c r="S266" i="9" s="1"/>
  <c r="M195" i="9"/>
  <c r="K268" i="9"/>
  <c r="S268" i="9" s="1"/>
  <c r="M197" i="9"/>
  <c r="K178" i="9"/>
  <c r="I249" i="9"/>
  <c r="Q249" i="9" s="1"/>
  <c r="I251" i="9"/>
  <c r="Q251" i="9" s="1"/>
  <c r="K180" i="9"/>
  <c r="J253" i="9"/>
  <c r="L182" i="9"/>
  <c r="L177" i="9"/>
  <c r="J248" i="9"/>
  <c r="N247" i="9"/>
  <c r="S127" i="9"/>
  <c r="P176" i="9"/>
  <c r="S133" i="9"/>
  <c r="N253" i="9"/>
  <c r="P182" i="9"/>
  <c r="L199" i="9"/>
  <c r="J270" i="9"/>
  <c r="R270" i="9" s="1"/>
  <c r="J266" i="9"/>
  <c r="L195" i="9"/>
  <c r="K254" i="9"/>
  <c r="M183" i="9"/>
  <c r="R128" i="9"/>
  <c r="M248" i="9"/>
  <c r="O177" i="9"/>
  <c r="R129" i="9"/>
  <c r="M249" i="9"/>
  <c r="O178" i="9"/>
  <c r="K250" i="9"/>
  <c r="S250" i="9" s="1"/>
  <c r="M179" i="9"/>
  <c r="F152" i="9"/>
  <c r="H152" i="9"/>
  <c r="H135" i="9"/>
  <c r="F135" i="9"/>
  <c r="R95" i="9"/>
  <c r="R94" i="9"/>
  <c r="E130" i="9"/>
  <c r="R90" i="9"/>
  <c r="E134" i="9"/>
  <c r="G152" i="9"/>
  <c r="B152" i="9"/>
  <c r="C152" i="9" s="1"/>
  <c r="G135" i="9"/>
  <c r="E129" i="9"/>
  <c r="D152" i="9"/>
  <c r="B135" i="9"/>
  <c r="C135" i="9" s="1"/>
  <c r="E247" i="9"/>
  <c r="E252" i="9"/>
  <c r="S111" i="9"/>
  <c r="S114" i="9"/>
  <c r="S90" i="9"/>
  <c r="R111" i="9"/>
  <c r="S91" i="9"/>
  <c r="S121" i="9"/>
  <c r="S108" i="9"/>
  <c r="R121" i="9"/>
  <c r="S94" i="9"/>
  <c r="S93" i="9"/>
  <c r="S92" i="9"/>
  <c r="S113" i="9"/>
  <c r="R110" i="9"/>
  <c r="S103" i="9"/>
  <c r="S109" i="9"/>
  <c r="R113" i="9"/>
  <c r="S107" i="9"/>
  <c r="R112" i="9"/>
  <c r="S110" i="9"/>
  <c r="S112" i="9"/>
  <c r="R109" i="9"/>
  <c r="R108" i="9"/>
  <c r="R114" i="9"/>
  <c r="S89" i="9"/>
  <c r="R96" i="9"/>
  <c r="L108" i="9"/>
  <c r="L145" i="9" s="1"/>
  <c r="F268" i="9"/>
  <c r="F267" i="9"/>
  <c r="F270" i="9"/>
  <c r="L114" i="9"/>
  <c r="L151" i="9" s="1"/>
  <c r="L110" i="9"/>
  <c r="L147" i="9" s="1"/>
  <c r="L112" i="9"/>
  <c r="L149" i="9" s="1"/>
  <c r="L113" i="9"/>
  <c r="L150" i="9" s="1"/>
  <c r="L121" i="9"/>
  <c r="G271" i="9"/>
  <c r="L107" i="9"/>
  <c r="L144" i="9" s="1"/>
  <c r="L109" i="9"/>
  <c r="L146" i="9" s="1"/>
  <c r="C269" i="9"/>
  <c r="E269" i="9"/>
  <c r="C268" i="9"/>
  <c r="E268" i="9"/>
  <c r="C265" i="9"/>
  <c r="R265" i="9" s="1"/>
  <c r="E265" i="9"/>
  <c r="I201" i="9"/>
  <c r="I236" i="9" s="1"/>
  <c r="C201" i="9"/>
  <c r="C236" i="9" s="1"/>
  <c r="G184" i="9"/>
  <c r="G219" i="9" s="1"/>
  <c r="E184" i="9"/>
  <c r="E219" i="9" s="1"/>
  <c r="E201" i="9"/>
  <c r="E236" i="9" s="1"/>
  <c r="P115" i="9"/>
  <c r="P152" i="9" s="1"/>
  <c r="H201" i="9"/>
  <c r="H236" i="9" s="1"/>
  <c r="J201" i="9"/>
  <c r="J236" i="9" s="1"/>
  <c r="B184" i="9"/>
  <c r="B219" i="9" s="1"/>
  <c r="O97" i="9"/>
  <c r="F184" i="9"/>
  <c r="F219" i="9" s="1"/>
  <c r="Q97" i="9"/>
  <c r="Q135" i="9" s="1"/>
  <c r="I184" i="9"/>
  <c r="I219" i="9" s="1"/>
  <c r="J184" i="9"/>
  <c r="J219" i="9" s="1"/>
  <c r="M97" i="9"/>
  <c r="M135" i="9" s="1"/>
  <c r="D184" i="9"/>
  <c r="D219" i="9" s="1"/>
  <c r="F201" i="9"/>
  <c r="F236" i="9" s="1"/>
  <c r="N115" i="9"/>
  <c r="N152" i="9" s="1"/>
  <c r="D201" i="9"/>
  <c r="D236" i="9" s="1"/>
  <c r="G201" i="9"/>
  <c r="G236" i="9" s="1"/>
  <c r="B201" i="9"/>
  <c r="B236" i="9" s="1"/>
  <c r="C184" i="9"/>
  <c r="C219" i="9" s="1"/>
  <c r="P97" i="9"/>
  <c r="H184" i="9"/>
  <c r="H219" i="9" s="1"/>
  <c r="O108" i="9"/>
  <c r="O145" i="9" s="1"/>
  <c r="O111" i="9"/>
  <c r="O148" i="9" s="1"/>
  <c r="O115" i="9"/>
  <c r="O114" i="9"/>
  <c r="O151" i="9" s="1"/>
  <c r="O110" i="9"/>
  <c r="O147" i="9" s="1"/>
  <c r="O112" i="9"/>
  <c r="O149" i="9" s="1"/>
  <c r="O109" i="9"/>
  <c r="O146" i="9" s="1"/>
  <c r="O107" i="9"/>
  <c r="O144" i="9" s="1"/>
  <c r="O113" i="9"/>
  <c r="O150" i="9" s="1"/>
  <c r="D271" i="9"/>
  <c r="F269" i="9"/>
  <c r="E270" i="9"/>
  <c r="H271" i="9"/>
  <c r="F271" i="9"/>
  <c r="S95" i="9"/>
  <c r="S96" i="9"/>
  <c r="B271" i="9"/>
  <c r="L97" i="9"/>
  <c r="N97" i="9"/>
  <c r="E253" i="9"/>
  <c r="C251" i="9"/>
  <c r="E266" i="9"/>
  <c r="C253" i="9"/>
  <c r="C266" i="9"/>
  <c r="C248" i="9"/>
  <c r="C247" i="9"/>
  <c r="C249" i="9"/>
  <c r="C250" i="9"/>
  <c r="C264" i="9"/>
  <c r="C267" i="9"/>
  <c r="G254" i="9"/>
  <c r="D254" i="9"/>
  <c r="F265" i="9"/>
  <c r="H254" i="9"/>
  <c r="Q115" i="9"/>
  <c r="Q152" i="9" s="1"/>
  <c r="F254" i="9"/>
  <c r="E250" i="9"/>
  <c r="E251" i="9"/>
  <c r="E264" i="9"/>
  <c r="A99" i="9"/>
  <c r="G98" i="9"/>
  <c r="C98" i="9"/>
  <c r="J98" i="9"/>
  <c r="F98" i="9"/>
  <c r="B98" i="9"/>
  <c r="D98" i="9"/>
  <c r="I98" i="9"/>
  <c r="H98" i="9"/>
  <c r="E98" i="9"/>
  <c r="B254" i="9"/>
  <c r="F264" i="9"/>
  <c r="E249" i="9"/>
  <c r="Q18" i="9"/>
  <c r="P21" i="9"/>
  <c r="P20" i="9"/>
  <c r="P19" i="9"/>
  <c r="P24" i="9"/>
  <c r="P26" i="9" s="1"/>
  <c r="P22" i="9"/>
  <c r="P23" i="9"/>
  <c r="P25" i="9" s="1"/>
  <c r="L115" i="9"/>
  <c r="M115" i="9"/>
  <c r="H116" i="9"/>
  <c r="D116" i="9"/>
  <c r="F116" i="9"/>
  <c r="J116" i="9"/>
  <c r="E116" i="9"/>
  <c r="A117" i="9"/>
  <c r="I116" i="9"/>
  <c r="C116" i="9"/>
  <c r="B116" i="9"/>
  <c r="G116" i="9"/>
  <c r="E267" i="9"/>
  <c r="Q253" i="9" l="1"/>
  <c r="O152" i="9"/>
  <c r="M254" i="9"/>
  <c r="O183" i="9"/>
  <c r="K251" i="9"/>
  <c r="S251" i="9" s="1"/>
  <c r="S248" i="9"/>
  <c r="Q250" i="9"/>
  <c r="A137" i="9"/>
  <c r="A257" i="9"/>
  <c r="A221" i="9"/>
  <c r="V254" i="9"/>
  <c r="A154" i="9"/>
  <c r="A203" i="9"/>
  <c r="A274" i="9"/>
  <c r="A238" i="9"/>
  <c r="A186" i="9"/>
  <c r="U249" i="9"/>
  <c r="W249" i="9" s="1"/>
  <c r="V253" i="9"/>
  <c r="X253" i="9" s="1"/>
  <c r="V247" i="9"/>
  <c r="X247" i="9" s="1"/>
  <c r="V270" i="9"/>
  <c r="X270" i="9" s="1"/>
  <c r="V252" i="9"/>
  <c r="X252" i="9" s="1"/>
  <c r="V250" i="9"/>
  <c r="X250" i="9" s="1"/>
  <c r="V264" i="9"/>
  <c r="X264" i="9" s="1"/>
  <c r="V265" i="9"/>
  <c r="X265" i="9" s="1"/>
  <c r="V248" i="9"/>
  <c r="X248" i="9" s="1"/>
  <c r="V249" i="9"/>
  <c r="X249" i="9" s="1"/>
  <c r="V266" i="9"/>
  <c r="X266" i="9" s="1"/>
  <c r="U252" i="9"/>
  <c r="W252" i="9" s="1"/>
  <c r="V251" i="9"/>
  <c r="X251" i="9" s="1"/>
  <c r="U271" i="9"/>
  <c r="W271" i="9" s="1"/>
  <c r="V269" i="9"/>
  <c r="X269" i="9" s="1"/>
  <c r="U254" i="9"/>
  <c r="W254" i="9" s="1"/>
  <c r="V268" i="9"/>
  <c r="X268" i="9" s="1"/>
  <c r="N127" i="9"/>
  <c r="K247" i="9" s="1"/>
  <c r="S247" i="9" s="1"/>
  <c r="V267" i="9"/>
  <c r="X267" i="9" s="1"/>
  <c r="N135" i="9"/>
  <c r="M184" i="9" s="1"/>
  <c r="P135" i="9"/>
  <c r="M255" i="9" s="1"/>
  <c r="O135" i="9"/>
  <c r="U248" i="9"/>
  <c r="W248" i="9" s="1"/>
  <c r="U266" i="9"/>
  <c r="W266" i="9" s="1"/>
  <c r="U250" i="9"/>
  <c r="W250" i="9" s="1"/>
  <c r="V271" i="9"/>
  <c r="X271" i="9" s="1"/>
  <c r="U251" i="9"/>
  <c r="W251" i="9" s="1"/>
  <c r="U253" i="9"/>
  <c r="W253" i="9" s="1"/>
  <c r="M177" i="9"/>
  <c r="M181" i="9"/>
  <c r="S254" i="9"/>
  <c r="W268" i="9"/>
  <c r="L254" i="9"/>
  <c r="T254" i="9" s="1"/>
  <c r="N183" i="9"/>
  <c r="L250" i="9"/>
  <c r="T250" i="9" s="1"/>
  <c r="N179" i="9"/>
  <c r="K255" i="9"/>
  <c r="L266" i="9"/>
  <c r="T266" i="9" s="1"/>
  <c r="N195" i="9"/>
  <c r="O184" i="9"/>
  <c r="J255" i="9"/>
  <c r="L184" i="9"/>
  <c r="K194" i="9"/>
  <c r="I265" i="9"/>
  <c r="Q265" i="9" s="1"/>
  <c r="O267" i="9"/>
  <c r="Q196" i="9"/>
  <c r="R181" i="9"/>
  <c r="P252" i="9"/>
  <c r="O250" i="9"/>
  <c r="Q179" i="9"/>
  <c r="P250" i="9"/>
  <c r="R179" i="9"/>
  <c r="R194" i="9"/>
  <c r="P265" i="9"/>
  <c r="N178" i="9"/>
  <c r="L249" i="9"/>
  <c r="T249" i="9" s="1"/>
  <c r="R249" i="9"/>
  <c r="Q199" i="9"/>
  <c r="O270" i="9"/>
  <c r="R197" i="9"/>
  <c r="P268" i="9"/>
  <c r="L135" i="9"/>
  <c r="L269" i="9"/>
  <c r="T269" i="9" s="1"/>
  <c r="N198" i="9"/>
  <c r="L268" i="9"/>
  <c r="T268" i="9" s="1"/>
  <c r="N197" i="9"/>
  <c r="K272" i="9"/>
  <c r="M201" i="9"/>
  <c r="R152" i="9"/>
  <c r="M272" i="9"/>
  <c r="O201" i="9"/>
  <c r="I266" i="9"/>
  <c r="Q266" i="9" s="1"/>
  <c r="K195" i="9"/>
  <c r="I270" i="9"/>
  <c r="Q270" i="9" s="1"/>
  <c r="K199" i="9"/>
  <c r="P247" i="9"/>
  <c r="R176" i="9"/>
  <c r="O268" i="9"/>
  <c r="Q197" i="9"/>
  <c r="R264" i="9"/>
  <c r="N180" i="9"/>
  <c r="L251" i="9"/>
  <c r="T251" i="9" s="1"/>
  <c r="O176" i="9"/>
  <c r="R127" i="9"/>
  <c r="M247" i="9"/>
  <c r="Q183" i="9"/>
  <c r="O254" i="9"/>
  <c r="R267" i="9"/>
  <c r="R250" i="9"/>
  <c r="W269" i="9"/>
  <c r="P264" i="9"/>
  <c r="R193" i="9"/>
  <c r="N177" i="9"/>
  <c r="L248" i="9"/>
  <c r="T248" i="9" s="1"/>
  <c r="P248" i="9"/>
  <c r="R177" i="9"/>
  <c r="O193" i="9"/>
  <c r="R144" i="9"/>
  <c r="M264" i="9"/>
  <c r="Q254" i="9"/>
  <c r="X254" i="9"/>
  <c r="D153" i="9"/>
  <c r="M152" i="9"/>
  <c r="L270" i="9"/>
  <c r="T270" i="9" s="1"/>
  <c r="N199" i="9"/>
  <c r="L267" i="9"/>
  <c r="T267" i="9" s="1"/>
  <c r="N196" i="9"/>
  <c r="L265" i="9"/>
  <c r="T265" i="9" s="1"/>
  <c r="N194" i="9"/>
  <c r="K193" i="9"/>
  <c r="I264" i="9"/>
  <c r="Q264" i="9" s="1"/>
  <c r="K198" i="9"/>
  <c r="I269" i="9"/>
  <c r="Q269" i="9" s="1"/>
  <c r="Q177" i="9"/>
  <c r="O248" i="9"/>
  <c r="R266" i="9"/>
  <c r="R253" i="9"/>
  <c r="Q195" i="9"/>
  <c r="O266" i="9"/>
  <c r="Q182" i="9"/>
  <c r="O253" i="9"/>
  <c r="P254" i="9"/>
  <c r="R183" i="9"/>
  <c r="R247" i="9"/>
  <c r="P269" i="9"/>
  <c r="R198" i="9"/>
  <c r="Q198" i="9"/>
  <c r="O269" i="9"/>
  <c r="W265" i="9"/>
  <c r="R178" i="9"/>
  <c r="P249" i="9"/>
  <c r="R251" i="9"/>
  <c r="S152" i="9"/>
  <c r="N272" i="9"/>
  <c r="P201" i="9"/>
  <c r="I271" i="9"/>
  <c r="Q271" i="9" s="1"/>
  <c r="K200" i="9"/>
  <c r="P251" i="9"/>
  <c r="R180" i="9"/>
  <c r="L152" i="9"/>
  <c r="L264" i="9"/>
  <c r="T264" i="9" s="1"/>
  <c r="N193" i="9"/>
  <c r="L271" i="9"/>
  <c r="T271" i="9" s="1"/>
  <c r="N200" i="9"/>
  <c r="N255" i="9"/>
  <c r="P184" i="9"/>
  <c r="S135" i="9"/>
  <c r="I267" i="9"/>
  <c r="Q267" i="9" s="1"/>
  <c r="K196" i="9"/>
  <c r="O249" i="9"/>
  <c r="Q178" i="9"/>
  <c r="R182" i="9"/>
  <c r="P253" i="9"/>
  <c r="R248" i="9"/>
  <c r="W267" i="9"/>
  <c r="R199" i="9"/>
  <c r="P270" i="9"/>
  <c r="N181" i="9"/>
  <c r="L252" i="9"/>
  <c r="T252" i="9" s="1"/>
  <c r="O252" i="9"/>
  <c r="Q181" i="9"/>
  <c r="R268" i="9"/>
  <c r="Q200" i="9"/>
  <c r="O271" i="9"/>
  <c r="R269" i="9"/>
  <c r="R200" i="9"/>
  <c r="P271" i="9"/>
  <c r="S271" i="9"/>
  <c r="Q194" i="9"/>
  <c r="O265" i="9"/>
  <c r="O251" i="9"/>
  <c r="Q180" i="9"/>
  <c r="W270" i="9"/>
  <c r="R195" i="9"/>
  <c r="P266" i="9"/>
  <c r="R196" i="9"/>
  <c r="P267" i="9"/>
  <c r="D136" i="9"/>
  <c r="B153" i="9"/>
  <c r="C153" i="9" s="1"/>
  <c r="F153" i="9"/>
  <c r="H136" i="9"/>
  <c r="E135" i="9"/>
  <c r="E152" i="9"/>
  <c r="H153" i="9"/>
  <c r="G153" i="9"/>
  <c r="F136" i="9"/>
  <c r="B136" i="9"/>
  <c r="C136" i="9" s="1"/>
  <c r="G136" i="9"/>
  <c r="R97" i="9"/>
  <c r="S97" i="9"/>
  <c r="S115" i="9"/>
  <c r="R115" i="9"/>
  <c r="B272" i="9"/>
  <c r="C272" i="9" s="1"/>
  <c r="H272" i="9"/>
  <c r="G272" i="9"/>
  <c r="H185" i="9"/>
  <c r="H220" i="9" s="1"/>
  <c r="B202" i="9"/>
  <c r="B237" i="9" s="1"/>
  <c r="O116" i="9"/>
  <c r="F202" i="9"/>
  <c r="F237" i="9" s="1"/>
  <c r="O98" i="9"/>
  <c r="O136" i="9" s="1"/>
  <c r="F185" i="9"/>
  <c r="F220" i="9" s="1"/>
  <c r="C202" i="9"/>
  <c r="C237" i="9" s="1"/>
  <c r="E202" i="9"/>
  <c r="E237" i="9" s="1"/>
  <c r="L116" i="9"/>
  <c r="D202" i="9"/>
  <c r="D237" i="9" s="1"/>
  <c r="I185" i="9"/>
  <c r="I220" i="9" s="1"/>
  <c r="J185" i="9"/>
  <c r="J220" i="9" s="1"/>
  <c r="Q116" i="9"/>
  <c r="Q153" i="9" s="1"/>
  <c r="I202" i="9"/>
  <c r="I237" i="9" s="1"/>
  <c r="C185" i="9"/>
  <c r="C220" i="9" s="1"/>
  <c r="J202" i="9"/>
  <c r="J237" i="9" s="1"/>
  <c r="P116" i="9"/>
  <c r="H202" i="9"/>
  <c r="H237" i="9" s="1"/>
  <c r="D185" i="9"/>
  <c r="D220" i="9" s="1"/>
  <c r="G202" i="9"/>
  <c r="G237" i="9" s="1"/>
  <c r="E185" i="9"/>
  <c r="E220" i="9" s="1"/>
  <c r="B185" i="9"/>
  <c r="B220" i="9" s="1"/>
  <c r="G185" i="9"/>
  <c r="G220" i="9" s="1"/>
  <c r="E271" i="9"/>
  <c r="F272" i="9"/>
  <c r="D272" i="9"/>
  <c r="C271" i="9"/>
  <c r="R271" i="9" s="1"/>
  <c r="H255" i="9"/>
  <c r="N116" i="9"/>
  <c r="B255" i="9"/>
  <c r="C254" i="9"/>
  <c r="R254" i="9" s="1"/>
  <c r="E254" i="9"/>
  <c r="G255" i="9"/>
  <c r="J117" i="9"/>
  <c r="F117" i="9"/>
  <c r="B117" i="9"/>
  <c r="I117" i="9"/>
  <c r="D117" i="9"/>
  <c r="A118" i="9"/>
  <c r="H117" i="9"/>
  <c r="C117" i="9"/>
  <c r="G117" i="9"/>
  <c r="E117" i="9"/>
  <c r="F154" i="9" s="1"/>
  <c r="N98" i="9"/>
  <c r="N136" i="9" s="1"/>
  <c r="L98" i="9"/>
  <c r="M98" i="9"/>
  <c r="P98" i="9"/>
  <c r="D255" i="9"/>
  <c r="M116" i="9"/>
  <c r="R18" i="9"/>
  <c r="Q24" i="9"/>
  <c r="Q26" i="9" s="1"/>
  <c r="Q21" i="9"/>
  <c r="Q19" i="9"/>
  <c r="Q20" i="9"/>
  <c r="Q23" i="9"/>
  <c r="Q25" i="9" s="1"/>
  <c r="Q22" i="9"/>
  <c r="Q98" i="9"/>
  <c r="I99" i="9"/>
  <c r="E99" i="9"/>
  <c r="H99" i="9"/>
  <c r="D99" i="9"/>
  <c r="J99" i="9"/>
  <c r="H137" i="9" s="1"/>
  <c r="B99" i="9"/>
  <c r="G99" i="9"/>
  <c r="G137" i="9" s="1"/>
  <c r="F99" i="9"/>
  <c r="C99" i="9"/>
  <c r="A100" i="9"/>
  <c r="F255" i="9"/>
  <c r="R135" i="9" l="1"/>
  <c r="P136" i="9"/>
  <c r="R136" i="9" s="1"/>
  <c r="A138" i="9"/>
  <c r="A258" i="9"/>
  <c r="A222" i="9"/>
  <c r="A155" i="9"/>
  <c r="A239" i="9"/>
  <c r="A187" i="9"/>
  <c r="A204" i="9"/>
  <c r="A275" i="9"/>
  <c r="V272" i="9"/>
  <c r="X272" i="9" s="1"/>
  <c r="U255" i="9"/>
  <c r="W255" i="9" s="1"/>
  <c r="U264" i="9"/>
  <c r="W264" i="9" s="1"/>
  <c r="Q136" i="9"/>
  <c r="S136" i="9" s="1"/>
  <c r="P153" i="9"/>
  <c r="V255" i="9"/>
  <c r="X255" i="9" s="1"/>
  <c r="U247" i="9"/>
  <c r="W247" i="9" s="1"/>
  <c r="U272" i="9"/>
  <c r="W272" i="9" s="1"/>
  <c r="O153" i="9"/>
  <c r="M176" i="9"/>
  <c r="B137" i="9"/>
  <c r="C137" i="9" s="1"/>
  <c r="B154" i="9"/>
  <c r="C154" i="9" s="1"/>
  <c r="E153" i="9"/>
  <c r="M256" i="9"/>
  <c r="O264" i="9"/>
  <c r="Q193" i="9"/>
  <c r="K256" i="9"/>
  <c r="M185" i="9"/>
  <c r="R184" i="9"/>
  <c r="P255" i="9"/>
  <c r="M136" i="9"/>
  <c r="S272" i="9"/>
  <c r="S255" i="9"/>
  <c r="L272" i="9"/>
  <c r="T272" i="9" s="1"/>
  <c r="N201" i="9"/>
  <c r="N184" i="9"/>
  <c r="L255" i="9"/>
  <c r="T255" i="9" s="1"/>
  <c r="M153" i="9"/>
  <c r="L136" i="9"/>
  <c r="N153" i="9"/>
  <c r="S153" i="9"/>
  <c r="N273" i="9"/>
  <c r="P202" i="9"/>
  <c r="L153" i="9"/>
  <c r="I272" i="9"/>
  <c r="Q272" i="9" s="1"/>
  <c r="K201" i="9"/>
  <c r="R201" i="9"/>
  <c r="P272" i="9"/>
  <c r="J272" i="9"/>
  <c r="R272" i="9" s="1"/>
  <c r="L201" i="9"/>
  <c r="O247" i="9"/>
  <c r="Q176" i="9"/>
  <c r="O272" i="9"/>
  <c r="Q201" i="9"/>
  <c r="K184" i="9"/>
  <c r="I255" i="9"/>
  <c r="Q255" i="9" s="1"/>
  <c r="O255" i="9"/>
  <c r="Q184" i="9"/>
  <c r="H154" i="9"/>
  <c r="G154" i="9"/>
  <c r="D154" i="9"/>
  <c r="F137" i="9"/>
  <c r="E136" i="9"/>
  <c r="D137" i="9"/>
  <c r="S98" i="9"/>
  <c r="R116" i="9"/>
  <c r="S116" i="9"/>
  <c r="G203" i="9"/>
  <c r="G238" i="9" s="1"/>
  <c r="M117" i="9"/>
  <c r="D203" i="9"/>
  <c r="D238" i="9" s="1"/>
  <c r="G186" i="9"/>
  <c r="G221" i="9" s="1"/>
  <c r="C203" i="9"/>
  <c r="C238" i="9" s="1"/>
  <c r="Q117" i="9"/>
  <c r="Q154" i="9" s="1"/>
  <c r="I203" i="9"/>
  <c r="I238" i="9" s="1"/>
  <c r="N99" i="9"/>
  <c r="D186" i="9"/>
  <c r="D221" i="9" s="1"/>
  <c r="J203" i="9"/>
  <c r="J238" i="9" s="1"/>
  <c r="B186" i="9"/>
  <c r="B221" i="9" s="1"/>
  <c r="E186" i="9"/>
  <c r="E221" i="9" s="1"/>
  <c r="P117" i="9"/>
  <c r="P154" i="9" s="1"/>
  <c r="H203" i="9"/>
  <c r="H238" i="9" s="1"/>
  <c r="B203" i="9"/>
  <c r="B238" i="9" s="1"/>
  <c r="F186" i="9"/>
  <c r="F221" i="9" s="1"/>
  <c r="P99" i="9"/>
  <c r="P137" i="9" s="1"/>
  <c r="H186" i="9"/>
  <c r="H221" i="9" s="1"/>
  <c r="C186" i="9"/>
  <c r="C221" i="9" s="1"/>
  <c r="J186" i="9"/>
  <c r="J221" i="9" s="1"/>
  <c r="Q99" i="9"/>
  <c r="Q137" i="9" s="1"/>
  <c r="I186" i="9"/>
  <c r="I221" i="9" s="1"/>
  <c r="E203" i="9"/>
  <c r="E238" i="9" s="1"/>
  <c r="O117" i="9"/>
  <c r="O154" i="9" s="1"/>
  <c r="F203" i="9"/>
  <c r="F238" i="9" s="1"/>
  <c r="L99" i="9"/>
  <c r="L137" i="9" s="1"/>
  <c r="E272" i="9"/>
  <c r="F273" i="9"/>
  <c r="B273" i="9"/>
  <c r="C273" i="9" s="1"/>
  <c r="H273" i="9"/>
  <c r="D273" i="9"/>
  <c r="R98" i="9"/>
  <c r="G273" i="9"/>
  <c r="C255" i="9"/>
  <c r="R255" i="9" s="1"/>
  <c r="N117" i="9"/>
  <c r="H256" i="9"/>
  <c r="L117" i="9"/>
  <c r="B256" i="9"/>
  <c r="C256" i="9" s="1"/>
  <c r="F256" i="9"/>
  <c r="M99" i="9"/>
  <c r="G256" i="9"/>
  <c r="D256" i="9"/>
  <c r="S18" i="9"/>
  <c r="R19" i="9"/>
  <c r="R20" i="9"/>
  <c r="R21" i="9"/>
  <c r="R24" i="9"/>
  <c r="R26" i="9" s="1"/>
  <c r="R23" i="9"/>
  <c r="R25" i="9" s="1"/>
  <c r="R22" i="9"/>
  <c r="H118" i="9"/>
  <c r="D118" i="9"/>
  <c r="G118" i="9"/>
  <c r="B118" i="9"/>
  <c r="F118" i="9"/>
  <c r="J118" i="9"/>
  <c r="E118" i="9"/>
  <c r="C118" i="9"/>
  <c r="A119" i="9"/>
  <c r="I118" i="9"/>
  <c r="A101" i="9"/>
  <c r="G100" i="9"/>
  <c r="C100" i="9"/>
  <c r="J100" i="9"/>
  <c r="F100" i="9"/>
  <c r="B100" i="9"/>
  <c r="H100" i="9"/>
  <c r="E100" i="9"/>
  <c r="D100" i="9"/>
  <c r="I100" i="9"/>
  <c r="E255" i="9"/>
  <c r="O99" i="9"/>
  <c r="O137" i="9" s="1"/>
  <c r="M154" i="9" l="1"/>
  <c r="P185" i="9"/>
  <c r="O185" i="9"/>
  <c r="N256" i="9"/>
  <c r="V256" i="9" s="1"/>
  <c r="X256" i="9" s="1"/>
  <c r="L154" i="9"/>
  <c r="M137" i="9"/>
  <c r="N154" i="9"/>
  <c r="R99" i="9"/>
  <c r="N137" i="9"/>
  <c r="K257" i="9" s="1"/>
  <c r="A139" i="9"/>
  <c r="A259" i="9"/>
  <c r="A223" i="9"/>
  <c r="A156" i="9"/>
  <c r="A276" i="9"/>
  <c r="A240" i="9"/>
  <c r="A188" i="9"/>
  <c r="A205" i="9"/>
  <c r="U256" i="9"/>
  <c r="W256" i="9" s="1"/>
  <c r="V273" i="9"/>
  <c r="X273" i="9" s="1"/>
  <c r="S154" i="9"/>
  <c r="D155" i="9"/>
  <c r="M257" i="9"/>
  <c r="N185" i="9"/>
  <c r="L256" i="9"/>
  <c r="T256" i="9" s="1"/>
  <c r="J257" i="9"/>
  <c r="L186" i="9"/>
  <c r="N257" i="9"/>
  <c r="P186" i="9"/>
  <c r="S137" i="9"/>
  <c r="R137" i="9"/>
  <c r="R154" i="9"/>
  <c r="M274" i="9"/>
  <c r="O203" i="9"/>
  <c r="K185" i="9"/>
  <c r="I256" i="9"/>
  <c r="Q256" i="9" s="1"/>
  <c r="R185" i="9"/>
  <c r="P256" i="9"/>
  <c r="K274" i="9"/>
  <c r="M203" i="9"/>
  <c r="R202" i="9"/>
  <c r="P273" i="9"/>
  <c r="J273" i="9"/>
  <c r="R273" i="9" s="1"/>
  <c r="L202" i="9"/>
  <c r="O256" i="9"/>
  <c r="Q185" i="9"/>
  <c r="K202" i="9"/>
  <c r="I273" i="9"/>
  <c r="Q273" i="9" s="1"/>
  <c r="R153" i="9"/>
  <c r="M273" i="9"/>
  <c r="O202" i="9"/>
  <c r="J256" i="9"/>
  <c r="R256" i="9" s="1"/>
  <c r="L185" i="9"/>
  <c r="S256" i="9"/>
  <c r="L273" i="9"/>
  <c r="T273" i="9" s="1"/>
  <c r="N202" i="9"/>
  <c r="I274" i="9"/>
  <c r="K203" i="9"/>
  <c r="K186" i="9"/>
  <c r="I257" i="9"/>
  <c r="P203" i="9"/>
  <c r="N274" i="9"/>
  <c r="J274" i="9"/>
  <c r="L203" i="9"/>
  <c r="M202" i="9"/>
  <c r="K273" i="9"/>
  <c r="S273" i="9" s="1"/>
  <c r="G138" i="9"/>
  <c r="H138" i="9"/>
  <c r="B155" i="9"/>
  <c r="C155" i="9" s="1"/>
  <c r="B138" i="9"/>
  <c r="C138" i="9" s="1"/>
  <c r="H155" i="9"/>
  <c r="E154" i="9"/>
  <c r="E155" i="9"/>
  <c r="E137" i="9"/>
  <c r="F138" i="9"/>
  <c r="D138" i="9"/>
  <c r="F155" i="9"/>
  <c r="G155" i="9"/>
  <c r="S117" i="9"/>
  <c r="S99" i="9"/>
  <c r="R117" i="9"/>
  <c r="O100" i="9"/>
  <c r="F187" i="9"/>
  <c r="F222" i="9" s="1"/>
  <c r="O118" i="9"/>
  <c r="F204" i="9"/>
  <c r="F239" i="9" s="1"/>
  <c r="P100" i="9"/>
  <c r="H187" i="9"/>
  <c r="H222" i="9" s="1"/>
  <c r="D187" i="9"/>
  <c r="D222" i="9" s="1"/>
  <c r="C204" i="9"/>
  <c r="C239" i="9" s="1"/>
  <c r="P118" i="9"/>
  <c r="P155" i="9" s="1"/>
  <c r="H204" i="9"/>
  <c r="H239" i="9" s="1"/>
  <c r="E187" i="9"/>
  <c r="E222" i="9" s="1"/>
  <c r="J187" i="9"/>
  <c r="J222" i="9" s="1"/>
  <c r="Q118" i="9"/>
  <c r="Q155" i="9" s="1"/>
  <c r="I204" i="9"/>
  <c r="I239" i="9" s="1"/>
  <c r="B204" i="9"/>
  <c r="B239" i="9" s="1"/>
  <c r="G204" i="9"/>
  <c r="G239" i="9" s="1"/>
  <c r="C187" i="9"/>
  <c r="C222" i="9" s="1"/>
  <c r="E204" i="9"/>
  <c r="E239" i="9" s="1"/>
  <c r="Q100" i="9"/>
  <c r="Q138" i="9" s="1"/>
  <c r="I187" i="9"/>
  <c r="I222" i="9" s="1"/>
  <c r="B187" i="9"/>
  <c r="B222" i="9" s="1"/>
  <c r="G187" i="9"/>
  <c r="G222" i="9" s="1"/>
  <c r="J204" i="9"/>
  <c r="J239" i="9" s="1"/>
  <c r="N118" i="9"/>
  <c r="N155" i="9" s="1"/>
  <c r="D204" i="9"/>
  <c r="D239" i="9" s="1"/>
  <c r="F274" i="9"/>
  <c r="D274" i="9"/>
  <c r="B274" i="9"/>
  <c r="C274" i="9" s="1"/>
  <c r="H274" i="9"/>
  <c r="G274" i="9"/>
  <c r="E273" i="9"/>
  <c r="L118" i="9"/>
  <c r="L155" i="9" s="1"/>
  <c r="E256" i="9"/>
  <c r="F257" i="9"/>
  <c r="H257" i="9"/>
  <c r="L100" i="9"/>
  <c r="L138" i="9" s="1"/>
  <c r="G257" i="9"/>
  <c r="M100" i="9"/>
  <c r="M138" i="9" s="1"/>
  <c r="B257" i="9"/>
  <c r="I101" i="9"/>
  <c r="E101" i="9"/>
  <c r="H101" i="9"/>
  <c r="D101" i="9"/>
  <c r="F101" i="9"/>
  <c r="A102" i="9"/>
  <c r="C101" i="9"/>
  <c r="J101" i="9"/>
  <c r="B101" i="9"/>
  <c r="G101" i="9"/>
  <c r="J119" i="9"/>
  <c r="F119" i="9"/>
  <c r="B119" i="9"/>
  <c r="E119" i="9"/>
  <c r="I119" i="9"/>
  <c r="D119" i="9"/>
  <c r="A120" i="9"/>
  <c r="H119" i="9"/>
  <c r="C119" i="9"/>
  <c r="G119" i="9"/>
  <c r="T18" i="9"/>
  <c r="S21" i="9"/>
  <c r="S24" i="9"/>
  <c r="S26" i="9" s="1"/>
  <c r="S19" i="9"/>
  <c r="S20" i="9"/>
  <c r="S22" i="9"/>
  <c r="S23" i="9"/>
  <c r="S25" i="9" s="1"/>
  <c r="D257" i="9"/>
  <c r="N100" i="9"/>
  <c r="M118" i="9"/>
  <c r="M186" i="9" l="1"/>
  <c r="N138" i="9"/>
  <c r="K258" i="9" s="1"/>
  <c r="M155" i="9"/>
  <c r="J275" i="9" s="1"/>
  <c r="A157" i="9"/>
  <c r="A277" i="9"/>
  <c r="A241" i="9"/>
  <c r="A189" i="9"/>
  <c r="A206" i="9"/>
  <c r="A140" i="9"/>
  <c r="A224" i="9"/>
  <c r="A260" i="9"/>
  <c r="P138" i="9"/>
  <c r="M258" i="9" s="1"/>
  <c r="O138" i="9"/>
  <c r="O155" i="9"/>
  <c r="V274" i="9"/>
  <c r="X274" i="9" s="1"/>
  <c r="U273" i="9"/>
  <c r="W273" i="9" s="1"/>
  <c r="U274" i="9"/>
  <c r="W274" i="9" s="1"/>
  <c r="V257" i="9"/>
  <c r="X257" i="9" s="1"/>
  <c r="U257" i="9"/>
  <c r="W257" i="9" s="1"/>
  <c r="F156" i="9"/>
  <c r="O186" i="9"/>
  <c r="L257" i="9"/>
  <c r="T257" i="9" s="1"/>
  <c r="N186" i="9"/>
  <c r="H156" i="9"/>
  <c r="J258" i="9"/>
  <c r="L187" i="9"/>
  <c r="S257" i="9"/>
  <c r="S274" i="9"/>
  <c r="O257" i="9"/>
  <c r="Q186" i="9"/>
  <c r="L204" i="9"/>
  <c r="G139" i="9"/>
  <c r="F139" i="9"/>
  <c r="S155" i="9"/>
  <c r="N275" i="9"/>
  <c r="P204" i="9"/>
  <c r="R203" i="9"/>
  <c r="P274" i="9"/>
  <c r="Q274" i="9"/>
  <c r="Q202" i="9"/>
  <c r="O273" i="9"/>
  <c r="Q203" i="9"/>
  <c r="O274" i="9"/>
  <c r="R186" i="9"/>
  <c r="P257" i="9"/>
  <c r="I275" i="9"/>
  <c r="K204" i="9"/>
  <c r="R274" i="9"/>
  <c r="Q257" i="9"/>
  <c r="L274" i="9"/>
  <c r="T274" i="9" s="1"/>
  <c r="N203" i="9"/>
  <c r="I258" i="9"/>
  <c r="K187" i="9"/>
  <c r="K275" i="9"/>
  <c r="M204" i="9"/>
  <c r="H139" i="9"/>
  <c r="S138" i="9"/>
  <c r="N258" i="9"/>
  <c r="P187" i="9"/>
  <c r="D139" i="9"/>
  <c r="G156" i="9"/>
  <c r="B156" i="9"/>
  <c r="C156" i="9" s="1"/>
  <c r="D156" i="9"/>
  <c r="B139" i="9"/>
  <c r="C139" i="9" s="1"/>
  <c r="E138" i="9"/>
  <c r="S118" i="9"/>
  <c r="R100" i="9"/>
  <c r="R118" i="9"/>
  <c r="S100" i="9"/>
  <c r="F275" i="9"/>
  <c r="G205" i="9"/>
  <c r="G240" i="9" s="1"/>
  <c r="D205" i="9"/>
  <c r="D240" i="9" s="1"/>
  <c r="B205" i="9"/>
  <c r="B240" i="9" s="1"/>
  <c r="G188" i="9"/>
  <c r="G223" i="9" s="1"/>
  <c r="E188" i="9"/>
  <c r="E223" i="9" s="1"/>
  <c r="C188" i="9"/>
  <c r="C223" i="9" s="1"/>
  <c r="C205" i="9"/>
  <c r="C240" i="9" s="1"/>
  <c r="I205" i="9"/>
  <c r="I240" i="9" s="1"/>
  <c r="F205" i="9"/>
  <c r="F240" i="9" s="1"/>
  <c r="B188" i="9"/>
  <c r="B223" i="9" s="1"/>
  <c r="F188" i="9"/>
  <c r="F223" i="9" s="1"/>
  <c r="Q101" i="9"/>
  <c r="Q139" i="9" s="1"/>
  <c r="I188" i="9"/>
  <c r="I223" i="9" s="1"/>
  <c r="P101" i="9"/>
  <c r="P139" i="9" s="1"/>
  <c r="H188" i="9"/>
  <c r="H223" i="9" s="1"/>
  <c r="H205" i="9"/>
  <c r="H240" i="9" s="1"/>
  <c r="E205" i="9"/>
  <c r="E240" i="9" s="1"/>
  <c r="J205" i="9"/>
  <c r="J240" i="9" s="1"/>
  <c r="J188" i="9"/>
  <c r="J223" i="9" s="1"/>
  <c r="L101" i="9"/>
  <c r="D188" i="9"/>
  <c r="D223" i="9" s="1"/>
  <c r="G258" i="9"/>
  <c r="D275" i="9"/>
  <c r="B275" i="9"/>
  <c r="H275" i="9"/>
  <c r="E274" i="9"/>
  <c r="G275" i="9"/>
  <c r="B258" i="9"/>
  <c r="C258" i="9" s="1"/>
  <c r="M101" i="9"/>
  <c r="N101" i="9"/>
  <c r="N139" i="9" s="1"/>
  <c r="D258" i="9"/>
  <c r="F258" i="9"/>
  <c r="H258" i="9"/>
  <c r="U18" i="9"/>
  <c r="T19" i="9"/>
  <c r="T24" i="9"/>
  <c r="T26" i="9" s="1"/>
  <c r="T21" i="9"/>
  <c r="T20" i="9"/>
  <c r="T23" i="9"/>
  <c r="T25" i="9" s="1"/>
  <c r="T22" i="9"/>
  <c r="H120" i="9"/>
  <c r="D120" i="9"/>
  <c r="I120" i="9"/>
  <c r="C120" i="9"/>
  <c r="G120" i="9"/>
  <c r="G157" i="9" s="1"/>
  <c r="B120" i="9"/>
  <c r="B157" i="9" s="1"/>
  <c r="C157" i="9" s="1"/>
  <c r="F120" i="9"/>
  <c r="J120" i="9"/>
  <c r="E120" i="9"/>
  <c r="O101" i="9"/>
  <c r="Q119" i="9"/>
  <c r="Q156" i="9" s="1"/>
  <c r="E257" i="9"/>
  <c r="L119" i="9"/>
  <c r="M119" i="9"/>
  <c r="N119" i="9"/>
  <c r="P119" i="9"/>
  <c r="O119" i="9"/>
  <c r="G102" i="9"/>
  <c r="C102" i="9"/>
  <c r="J102" i="9"/>
  <c r="F102" i="9"/>
  <c r="B102" i="9"/>
  <c r="D102" i="9"/>
  <c r="I102" i="9"/>
  <c r="H102" i="9"/>
  <c r="E102" i="9"/>
  <c r="C257" i="9"/>
  <c r="R257" i="9" s="1"/>
  <c r="M187" i="9" l="1"/>
  <c r="R138" i="9"/>
  <c r="O156" i="9"/>
  <c r="P156" i="9"/>
  <c r="R156" i="9" s="1"/>
  <c r="N156" i="9"/>
  <c r="M205" i="9" s="1"/>
  <c r="O139" i="9"/>
  <c r="O187" i="9"/>
  <c r="V275" i="9"/>
  <c r="X275" i="9" s="1"/>
  <c r="V258" i="9"/>
  <c r="X258" i="9" s="1"/>
  <c r="U258" i="9"/>
  <c r="W258" i="9" s="1"/>
  <c r="M139" i="9"/>
  <c r="L139" i="9"/>
  <c r="K188" i="9" s="1"/>
  <c r="D157" i="9"/>
  <c r="E157" i="9" s="1"/>
  <c r="M156" i="9"/>
  <c r="J276" i="9" s="1"/>
  <c r="L156" i="9"/>
  <c r="K205" i="9" s="1"/>
  <c r="F157" i="9"/>
  <c r="L258" i="9"/>
  <c r="T258" i="9" s="1"/>
  <c r="N187" i="9"/>
  <c r="S156" i="9"/>
  <c r="N276" i="9"/>
  <c r="P205" i="9"/>
  <c r="S275" i="9"/>
  <c r="R155" i="9"/>
  <c r="M275" i="9"/>
  <c r="O204" i="9"/>
  <c r="S258" i="9"/>
  <c r="F140" i="9"/>
  <c r="B140" i="9"/>
  <c r="C140" i="9" s="1"/>
  <c r="G140" i="9"/>
  <c r="K259" i="9"/>
  <c r="M188" i="9"/>
  <c r="R139" i="9"/>
  <c r="O188" i="9"/>
  <c r="M259" i="9"/>
  <c r="P258" i="9"/>
  <c r="R187" i="9"/>
  <c r="Q275" i="9"/>
  <c r="J259" i="9"/>
  <c r="L188" i="9"/>
  <c r="L275" i="9"/>
  <c r="T275" i="9" s="1"/>
  <c r="N204" i="9"/>
  <c r="Q258" i="9"/>
  <c r="R258" i="9"/>
  <c r="O205" i="9"/>
  <c r="I259" i="9"/>
  <c r="S139" i="9"/>
  <c r="P188" i="9"/>
  <c r="N259" i="9"/>
  <c r="O258" i="9"/>
  <c r="Q187" i="9"/>
  <c r="R204" i="9"/>
  <c r="P275" i="9"/>
  <c r="H140" i="9"/>
  <c r="H157" i="9"/>
  <c r="E156" i="9"/>
  <c r="D140" i="9"/>
  <c r="E139" i="9"/>
  <c r="S119" i="9"/>
  <c r="R101" i="9"/>
  <c r="R119" i="9"/>
  <c r="S101" i="9"/>
  <c r="B276" i="9"/>
  <c r="C276" i="9" s="1"/>
  <c r="Q102" i="9"/>
  <c r="I189" i="9"/>
  <c r="I224" i="9" s="1"/>
  <c r="E206" i="9"/>
  <c r="E241" i="9" s="1"/>
  <c r="G206" i="9"/>
  <c r="G241" i="9" s="1"/>
  <c r="O102" i="9"/>
  <c r="F189" i="9"/>
  <c r="F224" i="9" s="1"/>
  <c r="B206" i="9"/>
  <c r="B241" i="9" s="1"/>
  <c r="M102" i="9"/>
  <c r="M140" i="9" s="1"/>
  <c r="D189" i="9"/>
  <c r="D224" i="9" s="1"/>
  <c r="C189" i="9"/>
  <c r="C224" i="9" s="1"/>
  <c r="P102" i="9"/>
  <c r="P140" i="9" s="1"/>
  <c r="H189" i="9"/>
  <c r="H224" i="9" s="1"/>
  <c r="Q120" i="9"/>
  <c r="I206" i="9"/>
  <c r="I241" i="9" s="1"/>
  <c r="J189" i="9"/>
  <c r="J224" i="9" s="1"/>
  <c r="J206" i="9"/>
  <c r="J241" i="9" s="1"/>
  <c r="L120" i="9"/>
  <c r="L157" i="9" s="1"/>
  <c r="D206" i="9"/>
  <c r="D241" i="9" s="1"/>
  <c r="E189" i="9"/>
  <c r="E224" i="9" s="1"/>
  <c r="B189" i="9"/>
  <c r="B224" i="9" s="1"/>
  <c r="G189" i="9"/>
  <c r="G224" i="9" s="1"/>
  <c r="F206" i="9"/>
  <c r="F241" i="9" s="1"/>
  <c r="C206" i="9"/>
  <c r="C241" i="9" s="1"/>
  <c r="P120" i="9"/>
  <c r="P157" i="9" s="1"/>
  <c r="H206" i="9"/>
  <c r="H241" i="9" s="1"/>
  <c r="D276" i="9"/>
  <c r="G276" i="9"/>
  <c r="H276" i="9"/>
  <c r="C275" i="9"/>
  <c r="R275" i="9" s="1"/>
  <c r="F276" i="9"/>
  <c r="E275" i="9"/>
  <c r="E258" i="9"/>
  <c r="F259" i="9"/>
  <c r="B259" i="9"/>
  <c r="L102" i="9"/>
  <c r="H259" i="9"/>
  <c r="N102" i="9"/>
  <c r="G259" i="9"/>
  <c r="D259" i="9"/>
  <c r="N120" i="9"/>
  <c r="O120" i="9"/>
  <c r="O157" i="9" s="1"/>
  <c r="M120" i="9"/>
  <c r="M157" i="9" s="1"/>
  <c r="V18" i="9"/>
  <c r="U24" i="9"/>
  <c r="U26" i="9" s="1"/>
  <c r="U21" i="9"/>
  <c r="U19" i="9"/>
  <c r="U23" i="9"/>
  <c r="U25" i="9" s="1"/>
  <c r="U22" i="9"/>
  <c r="U20" i="9"/>
  <c r="M276" i="9" l="1"/>
  <c r="I276" i="9"/>
  <c r="N140" i="9"/>
  <c r="O140" i="9"/>
  <c r="K276" i="9"/>
  <c r="Q157" i="9"/>
  <c r="N277" i="9" s="1"/>
  <c r="N157" i="9"/>
  <c r="K277" i="9" s="1"/>
  <c r="U276" i="9"/>
  <c r="W276" i="9" s="1"/>
  <c r="V276" i="9"/>
  <c r="X276" i="9" s="1"/>
  <c r="Q140" i="9"/>
  <c r="V259" i="9"/>
  <c r="X259" i="9" s="1"/>
  <c r="U259" i="9"/>
  <c r="W259" i="9" s="1"/>
  <c r="U275" i="9"/>
  <c r="W275" i="9" s="1"/>
  <c r="L205" i="9"/>
  <c r="L140" i="9"/>
  <c r="K189" i="9" s="1"/>
  <c r="Q259" i="9"/>
  <c r="N188" i="9"/>
  <c r="L259" i="9"/>
  <c r="T259" i="9" s="1"/>
  <c r="N205" i="9"/>
  <c r="L276" i="9"/>
  <c r="T276" i="9" s="1"/>
  <c r="S259" i="9"/>
  <c r="R205" i="9"/>
  <c r="P276" i="9"/>
  <c r="Q276" i="9"/>
  <c r="J260" i="9"/>
  <c r="L189" i="9"/>
  <c r="R276" i="9"/>
  <c r="O275" i="9"/>
  <c r="Q204" i="9"/>
  <c r="R140" i="9"/>
  <c r="O189" i="9"/>
  <c r="M260" i="9"/>
  <c r="J277" i="9"/>
  <c r="L206" i="9"/>
  <c r="E276" i="9"/>
  <c r="R157" i="9"/>
  <c r="M277" i="9"/>
  <c r="O206" i="9"/>
  <c r="O276" i="9"/>
  <c r="Q205" i="9"/>
  <c r="L277" i="9"/>
  <c r="N206" i="9"/>
  <c r="K260" i="9"/>
  <c r="M189" i="9"/>
  <c r="I277" i="9"/>
  <c r="K206" i="9"/>
  <c r="S157" i="9"/>
  <c r="P206" i="9"/>
  <c r="P259" i="9"/>
  <c r="R188" i="9"/>
  <c r="Q188" i="9"/>
  <c r="O259" i="9"/>
  <c r="S276" i="9"/>
  <c r="E140" i="9"/>
  <c r="R102" i="9"/>
  <c r="S120" i="9"/>
  <c r="S102" i="9"/>
  <c r="R120" i="9"/>
  <c r="H277" i="9"/>
  <c r="G277" i="9"/>
  <c r="D277" i="9"/>
  <c r="B277" i="9"/>
  <c r="C277" i="9" s="1"/>
  <c r="F277" i="9"/>
  <c r="B260" i="9"/>
  <c r="H260" i="9"/>
  <c r="D260" i="9"/>
  <c r="W18" i="9"/>
  <c r="V21" i="9"/>
  <c r="V24" i="9"/>
  <c r="V26" i="9" s="1"/>
  <c r="V19" i="9"/>
  <c r="V20" i="9"/>
  <c r="V22" i="9"/>
  <c r="V23" i="9"/>
  <c r="V25" i="9" s="1"/>
  <c r="E259" i="9"/>
  <c r="G260" i="9"/>
  <c r="F260" i="9"/>
  <c r="C259" i="9"/>
  <c r="R259" i="9" s="1"/>
  <c r="I260" i="9" l="1"/>
  <c r="M206" i="9"/>
  <c r="V277" i="9"/>
  <c r="X277" i="9" s="1"/>
  <c r="U277" i="9"/>
  <c r="W277" i="9" s="1"/>
  <c r="U260" i="9"/>
  <c r="W260" i="9" s="1"/>
  <c r="T277" i="9"/>
  <c r="N189" i="9"/>
  <c r="L260" i="9"/>
  <c r="T260" i="9" s="1"/>
  <c r="O260" i="9"/>
  <c r="Q189" i="9"/>
  <c r="Q277" i="9"/>
  <c r="Q206" i="9"/>
  <c r="O277" i="9"/>
  <c r="R277" i="9"/>
  <c r="S140" i="9"/>
  <c r="N260" i="9"/>
  <c r="P189" i="9"/>
  <c r="P277" i="9"/>
  <c r="R206" i="9"/>
  <c r="S260" i="9"/>
  <c r="Q260" i="9"/>
  <c r="S277" i="9"/>
  <c r="E277" i="9"/>
  <c r="C260" i="9"/>
  <c r="R260" i="9" s="1"/>
  <c r="E260" i="9"/>
  <c r="X18" i="9"/>
  <c r="W21" i="9"/>
  <c r="W20" i="9"/>
  <c r="W19" i="9"/>
  <c r="W24" i="9"/>
  <c r="W26" i="9" s="1"/>
  <c r="W22" i="9"/>
  <c r="W23" i="9"/>
  <c r="W25" i="9" s="1"/>
  <c r="V260" i="9" l="1"/>
  <c r="X260" i="9" s="1"/>
  <c r="R189" i="9"/>
  <c r="P260" i="9"/>
  <c r="X24" i="9"/>
  <c r="X26" i="9" s="1"/>
  <c r="X21" i="9"/>
  <c r="X19" i="9"/>
  <c r="X20" i="9"/>
  <c r="X22" i="9"/>
  <c r="X23" i="9"/>
  <c r="X25" i="9" s="1"/>
</calcChain>
</file>

<file path=xl/sharedStrings.xml><?xml version="1.0" encoding="utf-8"?>
<sst xmlns="http://schemas.openxmlformats.org/spreadsheetml/2006/main" count="397" uniqueCount="177">
  <si>
    <r>
      <t>238</t>
    </r>
    <r>
      <rPr>
        <b/>
        <sz val="10"/>
        <rFont val="Times New Roman"/>
        <family val="1"/>
      </rPr>
      <t>U/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</si>
  <si>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t>235</t>
    </r>
    <r>
      <rPr>
        <b/>
        <sz val="10"/>
        <rFont val="Times New Roman"/>
        <family val="1"/>
      </rPr>
      <t>U/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</si>
  <si>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t>238</t>
    </r>
    <r>
      <rPr>
        <b/>
        <sz val="10"/>
        <rFont val="Times New Roman"/>
        <family val="1"/>
      </rPr>
      <t>U-</t>
    </r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>Pb</t>
    </r>
  </si>
  <si>
    <r>
      <t>235</t>
    </r>
    <r>
      <rPr>
        <b/>
        <sz val="10"/>
        <rFont val="Times New Roman"/>
        <family val="1"/>
      </rPr>
      <t>U-</t>
    </r>
    <r>
      <rPr>
        <b/>
        <vertAlign val="superscript"/>
        <sz val="10"/>
        <rFont val="Times New Roman"/>
        <family val="1"/>
      </rPr>
      <t>207</t>
    </r>
    <r>
      <rPr>
        <b/>
        <sz val="10"/>
        <rFont val="Times New Roman"/>
        <family val="1"/>
      </rPr>
      <t>Pb</t>
    </r>
  </si>
  <si>
    <r>
      <t>232</t>
    </r>
    <r>
      <rPr>
        <b/>
        <sz val="10"/>
        <rFont val="Times New Roman"/>
        <family val="1"/>
      </rPr>
      <t>Th-</t>
    </r>
    <r>
      <rPr>
        <b/>
        <vertAlign val="superscript"/>
        <sz val="10"/>
        <rFont val="Times New Roman"/>
        <family val="1"/>
      </rPr>
      <t>208</t>
    </r>
    <r>
      <rPr>
        <b/>
        <sz val="10"/>
        <rFont val="Times New Roman"/>
        <family val="1"/>
      </rPr>
      <t>Pb</t>
    </r>
  </si>
  <si>
    <r>
      <t>147</t>
    </r>
    <r>
      <rPr>
        <b/>
        <sz val="10"/>
        <rFont val="Times New Roman"/>
        <family val="1"/>
      </rPr>
      <t>Sm-</t>
    </r>
    <r>
      <rPr>
        <b/>
        <vertAlign val="superscript"/>
        <sz val="10"/>
        <rFont val="Times New Roman"/>
        <family val="1"/>
      </rPr>
      <t>143</t>
    </r>
    <r>
      <rPr>
        <b/>
        <sz val="10"/>
        <rFont val="Times New Roman"/>
        <family val="1"/>
      </rPr>
      <t>Nd</t>
    </r>
  </si>
  <si>
    <r>
      <t>232</t>
    </r>
    <r>
      <rPr>
        <b/>
        <sz val="10"/>
        <rFont val="Times New Roman"/>
        <family val="1"/>
      </rPr>
      <t>Th/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</si>
  <si>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t>232</t>
    </r>
    <r>
      <rPr>
        <b/>
        <sz val="10"/>
        <rFont val="Times New Roman"/>
        <family val="1"/>
      </rPr>
      <t>Th/</t>
    </r>
    <r>
      <rPr>
        <b/>
        <vertAlign val="superscript"/>
        <sz val="10"/>
        <rFont val="Times New Roman"/>
        <family val="1"/>
      </rPr>
      <t>238</t>
    </r>
    <r>
      <rPr>
        <b/>
        <sz val="10"/>
        <rFont val="Times New Roman"/>
        <family val="1"/>
      </rPr>
      <t>U</t>
    </r>
  </si>
  <si>
    <r>
      <t>147</t>
    </r>
    <r>
      <rPr>
        <b/>
        <sz val="10"/>
        <rFont val="Times New Roman"/>
        <family val="1"/>
      </rPr>
      <t>Sm/</t>
    </r>
    <r>
      <rPr>
        <b/>
        <vertAlign val="superscript"/>
        <sz val="10"/>
        <rFont val="Times New Roman"/>
        <family val="1"/>
      </rPr>
      <t>144</t>
    </r>
    <r>
      <rPr>
        <b/>
        <sz val="10"/>
        <rFont val="Times New Roman"/>
        <family val="1"/>
      </rPr>
      <t>Nd</t>
    </r>
  </si>
  <si>
    <r>
      <t>176</t>
    </r>
    <r>
      <rPr>
        <b/>
        <sz val="10"/>
        <rFont val="Times New Roman"/>
        <family val="1"/>
      </rPr>
      <t>Lu/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</si>
  <si>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r>
      <t>176</t>
    </r>
    <r>
      <rPr>
        <b/>
        <sz val="10"/>
        <rFont val="Times New Roman"/>
        <family val="1"/>
      </rPr>
      <t>Lu-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</si>
  <si>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r>
      <t>87</t>
    </r>
    <r>
      <rPr>
        <b/>
        <sz val="10"/>
        <rFont val="Times New Roman"/>
        <family val="1"/>
      </rPr>
      <t>Rb/</t>
    </r>
    <r>
      <rPr>
        <b/>
        <vertAlign val="superscript"/>
        <sz val="10"/>
        <rFont val="Times New Roman"/>
        <family val="1"/>
      </rPr>
      <t>86</t>
    </r>
    <r>
      <rPr>
        <b/>
        <sz val="10"/>
        <rFont val="Times New Roman"/>
        <family val="1"/>
      </rPr>
      <t>Sr</t>
    </r>
  </si>
  <si>
    <r>
      <t>87</t>
    </r>
    <r>
      <rPr>
        <b/>
        <sz val="10"/>
        <rFont val="Times New Roman"/>
        <family val="1"/>
      </rPr>
      <t>Rb-</t>
    </r>
    <r>
      <rPr>
        <b/>
        <vertAlign val="superscript"/>
        <sz val="10"/>
        <rFont val="Times New Roman"/>
        <family val="1"/>
      </rPr>
      <t>86</t>
    </r>
    <r>
      <rPr>
        <b/>
        <sz val="10"/>
        <rFont val="Times New Roman"/>
        <family val="1"/>
      </rPr>
      <t>Sr</t>
    </r>
  </si>
  <si>
    <t>AOC fluid</t>
  </si>
  <si>
    <t>Sed fluid</t>
  </si>
  <si>
    <t>Rb</t>
  </si>
  <si>
    <t>Sr</t>
  </si>
  <si>
    <t>Hf</t>
  </si>
  <si>
    <t>Nd</t>
  </si>
  <si>
    <t>Sm</t>
  </si>
  <si>
    <t>Lu</t>
  </si>
  <si>
    <t>Pb</t>
  </si>
  <si>
    <t>Th</t>
  </si>
  <si>
    <t>U</t>
  </si>
  <si>
    <t>Cpx</t>
  </si>
  <si>
    <t>Sed melt</t>
  </si>
  <si>
    <t>Kd</t>
  </si>
  <si>
    <t>Ol</t>
  </si>
  <si>
    <t>Opx</t>
  </si>
  <si>
    <t>Sp</t>
  </si>
  <si>
    <t>D</t>
  </si>
  <si>
    <t>Mode</t>
  </si>
  <si>
    <t>Mixture between DM and fluid 1</t>
  </si>
  <si>
    <t>Mixture between DM and fluid 2</t>
  </si>
  <si>
    <t>Mantle</t>
  </si>
  <si>
    <t>Modified mantle wedge calculator</t>
  </si>
  <si>
    <t>Recycling age:</t>
  </si>
  <si>
    <t>Ma</t>
  </si>
  <si>
    <t>Melting age:</t>
  </si>
  <si>
    <t>Supplementary Information for:</t>
  </si>
  <si>
    <t>Fraction of fluid derived from AOC:</t>
  </si>
  <si>
    <t>batch melt of that mantle for a desired melt fraction, F. The F value is a fraction of the total and</t>
  </si>
  <si>
    <t>Melt fraction (F):</t>
  </si>
  <si>
    <t>Ambient Mantle trace element composition</t>
  </si>
  <si>
    <t>Ambient Mantle isotopic composition</t>
  </si>
  <si>
    <t>Isotopic Decay Constants</t>
  </si>
  <si>
    <r>
      <t xml:space="preserve">l </t>
    </r>
    <r>
      <rPr>
        <b/>
        <sz val="10"/>
        <rFont val="Times New Roman"/>
        <family val="1"/>
      </rPr>
      <t>(a</t>
    </r>
    <r>
      <rPr>
        <b/>
        <vertAlign val="superscript"/>
        <sz val="10"/>
        <rFont val="Times New Roman"/>
        <family val="1"/>
      </rPr>
      <t>-1</t>
    </r>
    <r>
      <rPr>
        <b/>
        <sz val="10"/>
        <rFont val="Times New Roman"/>
        <family val="1"/>
      </rPr>
      <t>)</t>
    </r>
  </si>
  <si>
    <t>Present-day CHUR composition (for epsilon calculations)</t>
  </si>
  <si>
    <t>Sediment-derived partial melt composition</t>
  </si>
  <si>
    <t>Sediment-derived aqueous fluid composition</t>
  </si>
  <si>
    <t>AOC-derived aqueous fluid composition</t>
  </si>
  <si>
    <t>Composition of CHUR at recycling age:</t>
  </si>
  <si>
    <t>Composition of CHUR at melting age:</t>
  </si>
  <si>
    <t>Proportion of AOC fluid:</t>
  </si>
  <si>
    <t>Proportion of sediment fluid:</t>
  </si>
  <si>
    <t>F fluid sed:</t>
  </si>
  <si>
    <t>F fluid AOC:</t>
  </si>
  <si>
    <t>This calculator spreadsheet can be used to determine the composition of a modified mantle</t>
  </si>
  <si>
    <t>wedge, which has been metasomatized by the addition of aqueous and magmatic fluids derived</t>
  </si>
  <si>
    <t>from altered oceanic crust and subducted sediment. The user can enter their preferred values</t>
  </si>
  <si>
    <r>
      <t xml:space="preserve">for the compositions of all three reservoirs, for bulk melt/rock partition coefficients </t>
    </r>
    <r>
      <rPr>
        <i/>
        <sz val="11"/>
        <rFont val="Times New Roman"/>
        <family val="1"/>
      </rPr>
      <t>D</t>
    </r>
    <r>
      <rPr>
        <i/>
        <vertAlign val="subscript"/>
        <sz val="11"/>
        <rFont val="Times New Roman"/>
        <family val="1"/>
      </rPr>
      <t>i</t>
    </r>
    <r>
      <rPr>
        <i/>
        <sz val="11"/>
        <rFont val="Times New Roman"/>
        <family val="1"/>
      </rPr>
      <t>,</t>
    </r>
    <r>
      <rPr>
        <sz val="11"/>
        <rFont val="Times New Roman"/>
        <family val="1"/>
      </rPr>
      <t xml:space="preserve"> and for</t>
    </r>
  </si>
  <si>
    <t>of crust recycling and wedge metasomatism, in millions of years:</t>
  </si>
  <si>
    <t>the fraction of the fluid mixture that derives from altered oceanic crust (as opposed to sediment-</t>
  </si>
  <si>
    <t>the age of melting (i.e., the sampling age), in millions of years:</t>
  </si>
  <si>
    <t>derived), expressed as a decimal value between 0 and 1:</t>
  </si>
  <si>
    <t>Fraction of sediment extracted as fluid (F fluid seds):</t>
  </si>
  <si>
    <t>Fraction of AOC extracted as fluid (F fluid AOC):</t>
  </si>
  <si>
    <t>and age-corrected isotope compositions of both the metasomatized  mantle wedge, and a modal</t>
  </si>
  <si>
    <t>Trace element composition of residual mantle wedge after batch modal melting</t>
  </si>
  <si>
    <t>Isotopic composition of the residual wedge at time of melting and melt removal</t>
  </si>
  <si>
    <t>fluid mobility coefficients in the worksheet titled "Modified mantle wedge." The final results</t>
  </si>
  <si>
    <t>Other primary variables that the user can control should be entered here. They are the age</t>
  </si>
  <si>
    <t>and the mass fractions of recycled rocks extracted as fluids, as decimal values between 0 and 1:</t>
  </si>
  <si>
    <t>should be a decimal value between 0 and 1:</t>
  </si>
  <si>
    <t>Users of this calculator are asked to cite the paper above, as well as any published sources for</t>
  </si>
  <si>
    <t>Subducted sediment trace element composition and partition coefficients</t>
  </si>
  <si>
    <t>Sediment/Melt bulk partition coefficients</t>
  </si>
  <si>
    <t>Sedimen/Fluid bulk partition coefficients</t>
  </si>
  <si>
    <t>Trace element composition of altered oceanic crust</t>
  </si>
  <si>
    <t>AOC/Fluid bulk mobility coefficients</t>
  </si>
  <si>
    <t>Isotopic composition of altered oceanic crust</t>
  </si>
  <si>
    <t>Present-day isotopic composition of two proposed fluid mixtures</t>
  </si>
  <si>
    <t>Mixture 1 (AOC fluid + sed fluid):</t>
  </si>
  <si>
    <t>Mixture 2 (AOC fluid + sed melt):</t>
  </si>
  <si>
    <t>(where i = time of recycling)</t>
  </si>
  <si>
    <t>(where i = time of melting)</t>
  </si>
  <si>
    <t>Tracked isotopic compositions with age from 0 to 2200 Ma</t>
  </si>
  <si>
    <r>
      <rPr>
        <b/>
        <vertAlign val="superscript"/>
        <sz val="10"/>
        <rFont val="Times New Roman"/>
        <family val="1"/>
      </rPr>
      <t>206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</si>
  <si>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rPr>
        <b/>
        <vertAlign val="superscript"/>
        <sz val="10"/>
        <rFont val="Times New Roman"/>
        <family val="1"/>
      </rPr>
      <t>207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</si>
  <si>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rPr>
        <b/>
        <vertAlign val="superscript"/>
        <sz val="10"/>
        <rFont val="Times New Roman"/>
        <family val="1"/>
      </rPr>
      <t>208</t>
    </r>
    <r>
      <rPr>
        <b/>
        <sz val="10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204</t>
    </r>
    <r>
      <rPr>
        <b/>
        <sz val="10"/>
        <rFont val="Times New Roman"/>
        <family val="1"/>
      </rPr>
      <t>Pb</t>
    </r>
  </si>
  <si>
    <r>
      <rPr>
        <b/>
        <vertAlign val="superscript"/>
        <sz val="10"/>
        <rFont val="Times New Roman"/>
        <family val="1"/>
      </rPr>
      <t>87</t>
    </r>
    <r>
      <rPr>
        <b/>
        <sz val="10"/>
        <rFont val="Times New Roman"/>
        <family val="1"/>
      </rPr>
      <t>Sr</t>
    </r>
    <r>
      <rPr>
        <b/>
        <sz val="10"/>
        <rFont val="Times New Roman"/>
        <family val="1"/>
      </rPr>
      <t>/</t>
    </r>
    <r>
      <rPr>
        <b/>
        <vertAlign val="superscript"/>
        <sz val="10"/>
        <rFont val="Times New Roman"/>
        <family val="1"/>
      </rPr>
      <t>86</t>
    </r>
    <r>
      <rPr>
        <b/>
        <sz val="10"/>
        <rFont val="Times New Roman"/>
        <family val="1"/>
      </rPr>
      <t>Sr</t>
    </r>
  </si>
  <si>
    <r>
      <rPr>
        <b/>
        <vertAlign val="superscript"/>
        <sz val="10"/>
        <rFont val="Times New Roman"/>
        <family val="1"/>
      </rPr>
      <t>143</t>
    </r>
    <r>
      <rPr>
        <b/>
        <sz val="10"/>
        <rFont val="Times New Roman"/>
        <family val="1"/>
      </rPr>
      <t>Nd/</t>
    </r>
    <r>
      <rPr>
        <b/>
        <vertAlign val="superscript"/>
        <sz val="10"/>
        <rFont val="Times New Roman"/>
        <family val="1"/>
      </rPr>
      <t>144</t>
    </r>
    <r>
      <rPr>
        <b/>
        <sz val="10"/>
        <rFont val="Times New Roman"/>
        <family val="1"/>
      </rPr>
      <t>Nd</t>
    </r>
  </si>
  <si>
    <r>
      <rPr>
        <b/>
        <vertAlign val="superscript"/>
        <sz val="10"/>
        <rFont val="Times New Roman"/>
        <family val="1"/>
      </rPr>
      <t>176</t>
    </r>
    <r>
      <rPr>
        <b/>
        <sz val="10"/>
        <rFont val="Times New Roman"/>
        <family val="1"/>
      </rPr>
      <t>Hf/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</si>
  <si>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r>
      <rPr>
        <b/>
        <sz val="12"/>
        <rFont val="Symbol"/>
        <charset val="2"/>
      </rPr>
      <t>e</t>
    </r>
    <r>
      <rPr>
        <b/>
        <vertAlign val="subscript"/>
        <sz val="12"/>
        <rFont val="Times New Roman"/>
        <family val="1"/>
      </rPr>
      <t>Nd</t>
    </r>
  </si>
  <si>
    <r>
      <rPr>
        <b/>
        <sz val="12"/>
        <rFont val="Symbol"/>
        <charset val="2"/>
      </rPr>
      <t>e</t>
    </r>
    <r>
      <rPr>
        <b/>
        <vertAlign val="subscript"/>
        <sz val="12"/>
        <rFont val="Times New Roman"/>
        <family val="1"/>
      </rPr>
      <t>Hf</t>
    </r>
  </si>
  <si>
    <r>
      <rPr>
        <b/>
        <vertAlign val="superscript"/>
        <sz val="10"/>
        <rFont val="Times New Roman"/>
        <family val="1"/>
      </rPr>
      <t>147</t>
    </r>
    <r>
      <rPr>
        <b/>
        <sz val="10"/>
        <rFont val="Times New Roman"/>
        <family val="1"/>
      </rPr>
      <t>Sm/</t>
    </r>
    <r>
      <rPr>
        <b/>
        <vertAlign val="superscript"/>
        <sz val="10"/>
        <rFont val="Times New Roman"/>
        <family val="1"/>
      </rPr>
      <t>144</t>
    </r>
    <r>
      <rPr>
        <b/>
        <sz val="10"/>
        <rFont val="Times New Roman"/>
        <family val="1"/>
      </rPr>
      <t>Nd</t>
    </r>
  </si>
  <si>
    <r>
      <rPr>
        <b/>
        <vertAlign val="superscript"/>
        <sz val="10"/>
        <rFont val="Times New Roman"/>
        <family val="1"/>
      </rPr>
      <t>176</t>
    </r>
    <r>
      <rPr>
        <b/>
        <sz val="10"/>
        <rFont val="Times New Roman"/>
        <family val="1"/>
      </rPr>
      <t>Lu/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</si>
  <si>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r>
      <rPr>
        <b/>
        <sz val="12"/>
        <rFont val="Symbol"/>
        <charset val="2"/>
      </rPr>
      <t>e</t>
    </r>
    <r>
      <rPr>
        <b/>
        <vertAlign val="subscript"/>
        <sz val="12"/>
        <rFont val="Times New Roman"/>
        <family val="1"/>
      </rPr>
      <t>Nd (i)</t>
    </r>
  </si>
  <si>
    <r>
      <rPr>
        <b/>
        <sz val="12"/>
        <rFont val="Symbol"/>
        <charset val="2"/>
      </rPr>
      <t>e</t>
    </r>
    <r>
      <rPr>
        <b/>
        <vertAlign val="subscript"/>
        <sz val="12"/>
        <rFont val="Times New Roman"/>
        <family val="1"/>
      </rPr>
      <t>Hf (i)</t>
    </r>
  </si>
  <si>
    <t>PRESENT-DAY SEDIMENT AND SEDIMENT-DERIVED FLUIDS</t>
  </si>
  <si>
    <t>PRESENT-DAY ALTERED OCEANIC CRUST AND AOC-DERIVED FLUIDS</t>
  </si>
  <si>
    <t>Isotopic composition of subducted sediment</t>
  </si>
  <si>
    <t>Trace element composition of two proposed fluid mixtures</t>
  </si>
  <si>
    <t>Isotopic composition of the mantle and fluid mixtures at time of recycling</t>
  </si>
  <si>
    <t>Parent/daughter ratios of fluid mixtures</t>
  </si>
  <si>
    <t>TRACKING AGE CORRECTIONS FOR AVERAGE COMPOSITION OF AMBIENT MANTLE WEDGE</t>
  </si>
  <si>
    <t>AGE-CORRECTED COMPOSITION OF MIXED FLUIDS (at time of recycling)</t>
  </si>
  <si>
    <t>COMPOSITION OF THE METASOMATIZED MANTLE WEDGE (at time of recycling)</t>
  </si>
  <si>
    <t>Bulk peridotite rock/melt partition coefficients</t>
  </si>
  <si>
    <t>Composition of partial melts after batch modal melting, for different quantities of fluid addition</t>
  </si>
  <si>
    <t>Isotopic composition of partial melts at time of melting and eruption</t>
  </si>
  <si>
    <t>Parent/daughter ratios of the residual wedge after melt removal</t>
  </si>
  <si>
    <t>Trace element composition of the mantle wedge before melting, for different fractions of fluid addition</t>
  </si>
  <si>
    <t>Initial isotopic composition of the mantle wedge at time of recycling, for different fractions of fluid addition</t>
  </si>
  <si>
    <t>Melting age (Ma):</t>
  </si>
  <si>
    <t>Recycling age (Ma):</t>
  </si>
  <si>
    <t>include calculated isotope ratios at both the present day and at the time of melting and</t>
  </si>
  <si>
    <t>eruption. Entries that can be safely edited without breaking the calculator are located in</t>
  </si>
  <si>
    <t>highlighted yellow boxes.</t>
  </si>
  <si>
    <t>The spreadsheet will also determine the composition of the residual mantle today using a two-</t>
  </si>
  <si>
    <t>stage calculation.</t>
  </si>
  <si>
    <t>the compositions of the mantle, sediments, or altered ocean crust; partition coefficients; fluid</t>
  </si>
  <si>
    <t>mobility coefficients; and decay constants.</t>
  </si>
  <si>
    <t>The calculations in the "Modified mantle wedge" worksheet will then determine the trace element</t>
  </si>
  <si>
    <t>Fluid 1:</t>
  </si>
  <si>
    <t>Fluid 2:</t>
  </si>
  <si>
    <t>Fluid 1</t>
  </si>
  <si>
    <t>Fluid 2</t>
  </si>
  <si>
    <r>
      <t>F</t>
    </r>
    <r>
      <rPr>
        <b/>
        <vertAlign val="subscript"/>
        <sz val="10"/>
        <color rgb="FF00B050"/>
        <rFont val="Times New Roman"/>
        <family val="1"/>
      </rPr>
      <t xml:space="preserve">fluid1 </t>
    </r>
    <r>
      <rPr>
        <b/>
        <sz val="10"/>
        <color rgb="FF00B050"/>
        <rFont val="Times New Roman"/>
        <family val="1"/>
      </rPr>
      <t>(aq)</t>
    </r>
  </si>
  <si>
    <r>
      <rPr>
        <b/>
        <vertAlign val="superscript"/>
        <sz val="10"/>
        <color rgb="FF00B050"/>
        <rFont val="Times New Roman"/>
        <family val="1"/>
      </rPr>
      <t>206</t>
    </r>
    <r>
      <rPr>
        <b/>
        <sz val="10"/>
        <color rgb="FF00B050"/>
        <rFont val="Times New Roman"/>
        <family val="1"/>
      </rPr>
      <t>Pb/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</si>
  <si>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rPr>
        <b/>
        <vertAlign val="superscript"/>
        <sz val="10"/>
        <color rgb="FF00B050"/>
        <rFont val="Times New Roman"/>
        <family val="1"/>
      </rPr>
      <t>207</t>
    </r>
    <r>
      <rPr>
        <b/>
        <sz val="10"/>
        <color rgb="FF00B050"/>
        <rFont val="Times New Roman"/>
        <family val="1"/>
      </rPr>
      <t>Pb/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</si>
  <si>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rPr>
        <b/>
        <vertAlign val="superscript"/>
        <sz val="10"/>
        <color rgb="FF00B050"/>
        <rFont val="Times New Roman"/>
        <family val="1"/>
      </rPr>
      <t>208</t>
    </r>
    <r>
      <rPr>
        <b/>
        <sz val="10"/>
        <color rgb="FF00B050"/>
        <rFont val="Times New Roman"/>
        <family val="1"/>
      </rPr>
      <t>Pb/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</si>
  <si>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rPr>
        <b/>
        <vertAlign val="superscript"/>
        <sz val="10"/>
        <color rgb="FF00B050"/>
        <rFont val="Times New Roman"/>
        <family val="1"/>
      </rPr>
      <t>87</t>
    </r>
    <r>
      <rPr>
        <b/>
        <sz val="10"/>
        <color rgb="FF00B050"/>
        <rFont val="Times New Roman"/>
        <family val="1"/>
      </rPr>
      <t>Sr/</t>
    </r>
    <r>
      <rPr>
        <b/>
        <vertAlign val="superscript"/>
        <sz val="10"/>
        <color rgb="FF00B050"/>
        <rFont val="Times New Roman"/>
        <family val="1"/>
      </rPr>
      <t>86</t>
    </r>
    <r>
      <rPr>
        <b/>
        <sz val="10"/>
        <color rgb="FF00B050"/>
        <rFont val="Times New Roman"/>
        <family val="1"/>
      </rPr>
      <t>Sr</t>
    </r>
  </si>
  <si>
    <r>
      <rPr>
        <b/>
        <vertAlign val="superscript"/>
        <sz val="10"/>
        <color rgb="FF00B050"/>
        <rFont val="Times New Roman"/>
        <family val="1"/>
      </rPr>
      <t>143</t>
    </r>
    <r>
      <rPr>
        <b/>
        <sz val="10"/>
        <color rgb="FF00B050"/>
        <rFont val="Times New Roman"/>
        <family val="1"/>
      </rPr>
      <t>Nd/</t>
    </r>
    <r>
      <rPr>
        <b/>
        <vertAlign val="superscript"/>
        <sz val="10"/>
        <color rgb="FF00B050"/>
        <rFont val="Times New Roman"/>
        <family val="1"/>
      </rPr>
      <t>144</t>
    </r>
    <r>
      <rPr>
        <b/>
        <sz val="10"/>
        <color rgb="FF00B050"/>
        <rFont val="Times New Roman"/>
        <family val="1"/>
      </rPr>
      <t>Nd</t>
    </r>
  </si>
  <si>
    <r>
      <rPr>
        <b/>
        <vertAlign val="superscript"/>
        <sz val="10"/>
        <color rgb="FF00B050"/>
        <rFont val="Times New Roman"/>
        <family val="1"/>
      </rPr>
      <t>176</t>
    </r>
    <r>
      <rPr>
        <b/>
        <sz val="10"/>
        <color rgb="FF00B050"/>
        <rFont val="Times New Roman"/>
        <family val="1"/>
      </rPr>
      <t>Hf/</t>
    </r>
    <r>
      <rPr>
        <b/>
        <vertAlign val="superscript"/>
        <sz val="10"/>
        <color rgb="FF00B050"/>
        <rFont val="Times New Roman"/>
        <family val="1"/>
      </rPr>
      <t>177</t>
    </r>
    <r>
      <rPr>
        <b/>
        <sz val="10"/>
        <color rgb="FF00B050"/>
        <rFont val="Times New Roman"/>
        <family val="1"/>
      </rPr>
      <t>Hf</t>
    </r>
  </si>
  <si>
    <r>
      <rPr>
        <b/>
        <sz val="12"/>
        <color rgb="FF00B050"/>
        <rFont val="Symbol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Nd (i)</t>
    </r>
  </si>
  <si>
    <r>
      <rPr>
        <b/>
        <sz val="12"/>
        <color rgb="FF00B050"/>
        <rFont val="Symbol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Hf (i)</t>
    </r>
  </si>
  <si>
    <t>CAMP age:</t>
  </si>
  <si>
    <t>Parent/daughter ratios of the metasomatized mantle wedge after fluid addition at time of recycling</t>
  </si>
  <si>
    <t>Isotopic composition of the metasomatized mantle wedge at CAMP melting event</t>
  </si>
  <si>
    <r>
      <t>238</t>
    </r>
    <r>
      <rPr>
        <b/>
        <sz val="10"/>
        <color rgb="FF00B050"/>
        <rFont val="Times New Roman"/>
        <family val="1"/>
      </rPr>
      <t>U/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</si>
  <si>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t>235</t>
    </r>
    <r>
      <rPr>
        <b/>
        <sz val="10"/>
        <color rgb="FF00B050"/>
        <rFont val="Times New Roman"/>
        <family val="1"/>
      </rPr>
      <t>U/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</si>
  <si>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t>232</t>
    </r>
    <r>
      <rPr>
        <b/>
        <sz val="10"/>
        <color rgb="FF00B050"/>
        <rFont val="Times New Roman"/>
        <family val="1"/>
      </rPr>
      <t>Th/</t>
    </r>
    <r>
      <rPr>
        <b/>
        <vertAlign val="superscript"/>
        <sz val="10"/>
        <color rgb="FF00B050"/>
        <rFont val="Times New Roman"/>
        <family val="1"/>
      </rPr>
      <t>204</t>
    </r>
    <r>
      <rPr>
        <b/>
        <sz val="10"/>
        <color rgb="FF00B050"/>
        <rFont val="Times New Roman"/>
        <family val="1"/>
      </rPr>
      <t>Pb</t>
    </r>
  </si>
  <si>
    <r>
      <t>232</t>
    </r>
    <r>
      <rPr>
        <b/>
        <sz val="10"/>
        <color rgb="FF00B050"/>
        <rFont val="Times New Roman"/>
        <family val="1"/>
      </rPr>
      <t>Th/</t>
    </r>
    <r>
      <rPr>
        <b/>
        <vertAlign val="superscript"/>
        <sz val="10"/>
        <color rgb="FF00B050"/>
        <rFont val="Times New Roman"/>
        <family val="1"/>
      </rPr>
      <t>238</t>
    </r>
    <r>
      <rPr>
        <b/>
        <sz val="10"/>
        <color rgb="FF00B050"/>
        <rFont val="Times New Roman"/>
        <family val="1"/>
      </rPr>
      <t>U</t>
    </r>
  </si>
  <si>
    <r>
      <t>87</t>
    </r>
    <r>
      <rPr>
        <b/>
        <sz val="10"/>
        <color rgb="FF00B050"/>
        <rFont val="Times New Roman"/>
        <family val="1"/>
      </rPr>
      <t>Rb/</t>
    </r>
    <r>
      <rPr>
        <b/>
        <vertAlign val="superscript"/>
        <sz val="10"/>
        <color rgb="FF00B050"/>
        <rFont val="Times New Roman"/>
        <family val="1"/>
      </rPr>
      <t>86</t>
    </r>
    <r>
      <rPr>
        <b/>
        <sz val="10"/>
        <color rgb="FF00B050"/>
        <rFont val="Times New Roman"/>
        <family val="1"/>
      </rPr>
      <t>Sr</t>
    </r>
  </si>
  <si>
    <r>
      <t>147</t>
    </r>
    <r>
      <rPr>
        <b/>
        <sz val="10"/>
        <color rgb="FF00B050"/>
        <rFont val="Times New Roman"/>
        <family val="1"/>
      </rPr>
      <t>Sm/</t>
    </r>
    <r>
      <rPr>
        <b/>
        <vertAlign val="superscript"/>
        <sz val="10"/>
        <color rgb="FF00B050"/>
        <rFont val="Times New Roman"/>
        <family val="1"/>
      </rPr>
      <t>144</t>
    </r>
    <r>
      <rPr>
        <b/>
        <sz val="10"/>
        <color rgb="FF00B050"/>
        <rFont val="Times New Roman"/>
        <family val="1"/>
      </rPr>
      <t>Nd</t>
    </r>
  </si>
  <si>
    <r>
      <t>176</t>
    </r>
    <r>
      <rPr>
        <b/>
        <sz val="10"/>
        <color rgb="FF00B050"/>
        <rFont val="Times New Roman"/>
        <family val="1"/>
      </rPr>
      <t>Lu/</t>
    </r>
    <r>
      <rPr>
        <b/>
        <vertAlign val="superscript"/>
        <sz val="10"/>
        <color rgb="FF00B050"/>
        <rFont val="Times New Roman"/>
        <family val="1"/>
      </rPr>
      <t>177</t>
    </r>
    <r>
      <rPr>
        <b/>
        <sz val="10"/>
        <color rgb="FF00B050"/>
        <rFont val="Times New Roman"/>
        <family val="1"/>
      </rPr>
      <t>Hf</t>
    </r>
  </si>
  <si>
    <r>
      <rPr>
        <b/>
        <sz val="12"/>
        <color rgb="FF00B050"/>
        <rFont val="Symbol"/>
        <family val="1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Nd (i)</t>
    </r>
  </si>
  <si>
    <r>
      <rPr>
        <b/>
        <sz val="12"/>
        <color rgb="FF00B050"/>
        <rFont val="Symbol"/>
        <family val="1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Hf (i)</t>
    </r>
  </si>
  <si>
    <t>Isotopic composition of the residual wedge in present day</t>
  </si>
  <si>
    <r>
      <rPr>
        <b/>
        <sz val="12"/>
        <color rgb="FF00B050"/>
        <rFont val="Symbol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Nd</t>
    </r>
  </si>
  <si>
    <r>
      <rPr>
        <b/>
        <sz val="12"/>
        <color rgb="FF00B050"/>
        <rFont val="Symbol"/>
        <charset val="2"/>
      </rPr>
      <t>e</t>
    </r>
    <r>
      <rPr>
        <b/>
        <vertAlign val="subscript"/>
        <sz val="12"/>
        <color rgb="FF00B050"/>
        <rFont val="Times New Roman"/>
        <family val="1"/>
      </rPr>
      <t>Hf</t>
    </r>
  </si>
  <si>
    <r>
      <t>238</t>
    </r>
    <r>
      <rPr>
        <b/>
        <sz val="10"/>
        <color rgb="FF923FD2"/>
        <rFont val="Times New Roman"/>
        <family val="1"/>
      </rPr>
      <t>U/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</si>
  <si>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t>235</t>
    </r>
    <r>
      <rPr>
        <b/>
        <sz val="10"/>
        <color rgb="FF923FD2"/>
        <rFont val="Times New Roman"/>
        <family val="1"/>
      </rPr>
      <t>U/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</si>
  <si>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t>232</t>
    </r>
    <r>
      <rPr>
        <b/>
        <sz val="10"/>
        <color rgb="FF923FD2"/>
        <rFont val="Times New Roman"/>
        <family val="1"/>
      </rPr>
      <t>Th/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</si>
  <si>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t>232</t>
    </r>
    <r>
      <rPr>
        <b/>
        <sz val="10"/>
        <color rgb="FF923FD2"/>
        <rFont val="Times New Roman"/>
        <family val="1"/>
      </rPr>
      <t>Th/</t>
    </r>
    <r>
      <rPr>
        <b/>
        <vertAlign val="superscript"/>
        <sz val="10"/>
        <color rgb="FF923FD2"/>
        <rFont val="Times New Roman"/>
        <family val="1"/>
      </rPr>
      <t>238</t>
    </r>
    <r>
      <rPr>
        <b/>
        <sz val="10"/>
        <color rgb="FF923FD2"/>
        <rFont val="Times New Roman"/>
        <family val="1"/>
      </rPr>
      <t>U</t>
    </r>
  </si>
  <si>
    <r>
      <t>87</t>
    </r>
    <r>
      <rPr>
        <b/>
        <sz val="10"/>
        <color rgb="FF923FD2"/>
        <rFont val="Times New Roman"/>
        <family val="1"/>
      </rPr>
      <t>Rb/</t>
    </r>
    <r>
      <rPr>
        <b/>
        <vertAlign val="superscript"/>
        <sz val="10"/>
        <color rgb="FF923FD2"/>
        <rFont val="Times New Roman"/>
        <family val="1"/>
      </rPr>
      <t>86</t>
    </r>
    <r>
      <rPr>
        <b/>
        <sz val="10"/>
        <color rgb="FF923FD2"/>
        <rFont val="Times New Roman"/>
        <family val="1"/>
      </rPr>
      <t>Sr</t>
    </r>
  </si>
  <si>
    <r>
      <t>147</t>
    </r>
    <r>
      <rPr>
        <b/>
        <sz val="10"/>
        <color rgb="FF923FD2"/>
        <rFont val="Times New Roman"/>
        <family val="1"/>
      </rPr>
      <t>Sm/</t>
    </r>
    <r>
      <rPr>
        <b/>
        <vertAlign val="superscript"/>
        <sz val="10"/>
        <color rgb="FF923FD2"/>
        <rFont val="Times New Roman"/>
        <family val="1"/>
      </rPr>
      <t>144</t>
    </r>
    <r>
      <rPr>
        <b/>
        <sz val="10"/>
        <color rgb="FF923FD2"/>
        <rFont val="Times New Roman"/>
        <family val="1"/>
      </rPr>
      <t>Nd</t>
    </r>
  </si>
  <si>
    <r>
      <t>176</t>
    </r>
    <r>
      <rPr>
        <b/>
        <sz val="10"/>
        <color rgb="FF923FD2"/>
        <rFont val="Times New Roman"/>
        <family val="1"/>
      </rPr>
      <t>Lu/</t>
    </r>
    <r>
      <rPr>
        <b/>
        <vertAlign val="superscript"/>
        <sz val="10"/>
        <color rgb="FF923FD2"/>
        <rFont val="Times New Roman"/>
        <family val="1"/>
      </rPr>
      <t>177</t>
    </r>
    <r>
      <rPr>
        <b/>
        <sz val="10"/>
        <color rgb="FF923FD2"/>
        <rFont val="Times New Roman"/>
        <family val="1"/>
      </rPr>
      <t>Hf</t>
    </r>
  </si>
  <si>
    <r>
      <rPr>
        <b/>
        <vertAlign val="superscript"/>
        <sz val="10"/>
        <color rgb="FF923FD2"/>
        <rFont val="Times New Roman"/>
        <family val="1"/>
      </rPr>
      <t>206</t>
    </r>
    <r>
      <rPr>
        <b/>
        <sz val="10"/>
        <color rgb="FF923FD2"/>
        <rFont val="Times New Roman"/>
        <family val="1"/>
      </rPr>
      <t>Pb/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</si>
  <si>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rPr>
        <b/>
        <vertAlign val="superscript"/>
        <sz val="10"/>
        <color rgb="FF923FD2"/>
        <rFont val="Times New Roman"/>
        <family val="1"/>
      </rPr>
      <t>207</t>
    </r>
    <r>
      <rPr>
        <b/>
        <sz val="10"/>
        <color rgb="FF923FD2"/>
        <rFont val="Times New Roman"/>
        <family val="1"/>
      </rPr>
      <t>Pb/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</si>
  <si>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rPr>
        <b/>
        <vertAlign val="superscript"/>
        <sz val="10"/>
        <color rgb="FF923FD2"/>
        <rFont val="Times New Roman"/>
        <family val="1"/>
      </rPr>
      <t>208</t>
    </r>
    <r>
      <rPr>
        <b/>
        <sz val="10"/>
        <color rgb="FF923FD2"/>
        <rFont val="Times New Roman"/>
        <family val="1"/>
      </rPr>
      <t>Pb/</t>
    </r>
    <r>
      <rPr>
        <b/>
        <vertAlign val="superscript"/>
        <sz val="10"/>
        <color rgb="FF923FD2"/>
        <rFont val="Times New Roman"/>
        <family val="1"/>
      </rPr>
      <t>204</t>
    </r>
    <r>
      <rPr>
        <b/>
        <sz val="10"/>
        <color rgb="FF923FD2"/>
        <rFont val="Times New Roman"/>
        <family val="1"/>
      </rPr>
      <t>Pb</t>
    </r>
  </si>
  <si>
    <r>
      <rPr>
        <b/>
        <vertAlign val="superscript"/>
        <sz val="10"/>
        <color rgb="FF923FD2"/>
        <rFont val="Times New Roman"/>
        <family val="1"/>
      </rPr>
      <t>87</t>
    </r>
    <r>
      <rPr>
        <b/>
        <sz val="10"/>
        <color rgb="FF923FD2"/>
        <rFont val="Times New Roman"/>
        <family val="1"/>
      </rPr>
      <t>Sr/</t>
    </r>
    <r>
      <rPr>
        <b/>
        <vertAlign val="superscript"/>
        <sz val="10"/>
        <color rgb="FF923FD2"/>
        <rFont val="Times New Roman"/>
        <family val="1"/>
      </rPr>
      <t>86</t>
    </r>
    <r>
      <rPr>
        <b/>
        <sz val="10"/>
        <color rgb="FF923FD2"/>
        <rFont val="Times New Roman"/>
        <family val="1"/>
      </rPr>
      <t>Sr</t>
    </r>
  </si>
  <si>
    <r>
      <rPr>
        <b/>
        <vertAlign val="superscript"/>
        <sz val="10"/>
        <color rgb="FF923FD2"/>
        <rFont val="Times New Roman"/>
        <family val="1"/>
      </rPr>
      <t>143</t>
    </r>
    <r>
      <rPr>
        <b/>
        <sz val="10"/>
        <color rgb="FF923FD2"/>
        <rFont val="Times New Roman"/>
        <family val="1"/>
      </rPr>
      <t>Nd/</t>
    </r>
    <r>
      <rPr>
        <b/>
        <vertAlign val="superscript"/>
        <sz val="10"/>
        <color rgb="FF923FD2"/>
        <rFont val="Times New Roman"/>
        <family val="1"/>
      </rPr>
      <t>144</t>
    </r>
    <r>
      <rPr>
        <b/>
        <sz val="10"/>
        <color rgb="FF923FD2"/>
        <rFont val="Times New Roman"/>
        <family val="1"/>
      </rPr>
      <t>Nd</t>
    </r>
  </si>
  <si>
    <r>
      <rPr>
        <b/>
        <vertAlign val="superscript"/>
        <sz val="10"/>
        <color rgb="FF923FD2"/>
        <rFont val="Times New Roman"/>
        <family val="1"/>
      </rPr>
      <t>176</t>
    </r>
    <r>
      <rPr>
        <b/>
        <sz val="10"/>
        <color rgb="FF923FD2"/>
        <rFont val="Times New Roman"/>
        <family val="1"/>
      </rPr>
      <t>Hf/</t>
    </r>
    <r>
      <rPr>
        <b/>
        <vertAlign val="superscript"/>
        <sz val="10"/>
        <color rgb="FF923FD2"/>
        <rFont val="Times New Roman"/>
        <family val="1"/>
      </rPr>
      <t>177</t>
    </r>
    <r>
      <rPr>
        <b/>
        <sz val="10"/>
        <color rgb="FF923FD2"/>
        <rFont val="Times New Roman"/>
        <family val="1"/>
      </rPr>
      <t>Hf</t>
    </r>
  </si>
  <si>
    <r>
      <rPr>
        <b/>
        <sz val="12"/>
        <color rgb="FF923FD2"/>
        <rFont val="Symbol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Nd (i)</t>
    </r>
  </si>
  <si>
    <r>
      <rPr>
        <b/>
        <sz val="12"/>
        <color rgb="FF923FD2"/>
        <rFont val="Symbol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Hf (i)</t>
    </r>
  </si>
  <si>
    <r>
      <rPr>
        <b/>
        <sz val="12"/>
        <color rgb="FF923FD2"/>
        <rFont val="Symbol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Nd</t>
    </r>
  </si>
  <si>
    <r>
      <rPr>
        <b/>
        <sz val="12"/>
        <color rgb="FF923FD2"/>
        <rFont val="Symbol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Hf</t>
    </r>
  </si>
  <si>
    <r>
      <rPr>
        <b/>
        <sz val="12"/>
        <color rgb="FF923FD2"/>
        <rFont val="Symbol"/>
        <family val="1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Nd (i)</t>
    </r>
  </si>
  <si>
    <r>
      <rPr>
        <b/>
        <sz val="12"/>
        <color rgb="FF923FD2"/>
        <rFont val="Symbol"/>
        <family val="1"/>
        <charset val="2"/>
      </rPr>
      <t>e</t>
    </r>
    <r>
      <rPr>
        <b/>
        <vertAlign val="subscript"/>
        <sz val="12"/>
        <color rgb="FF923FD2"/>
        <rFont val="Times New Roman"/>
        <family val="1"/>
      </rPr>
      <t>Hf (i)</t>
    </r>
  </si>
  <si>
    <r>
      <t>F</t>
    </r>
    <r>
      <rPr>
        <b/>
        <vertAlign val="subscript"/>
        <sz val="10"/>
        <color rgb="FF923FD2"/>
        <rFont val="Times New Roman"/>
        <family val="1"/>
      </rPr>
      <t xml:space="preserve">fluid1 </t>
    </r>
    <r>
      <rPr>
        <b/>
        <sz val="10"/>
        <color rgb="FF923FD2"/>
        <rFont val="Times New Roman"/>
        <family val="1"/>
      </rPr>
      <t>(melt)</t>
    </r>
  </si>
  <si>
    <t>ELEMENTAL COMPOSITION OF PARTIAL MELTS AND RESIDUAL MANTLE</t>
  </si>
  <si>
    <t>Gt</t>
  </si>
  <si>
    <t>Elkins, L.J., Meyzen, C.M., Callegaro, S., Marzoli, A., &amp; Bizimis, M. (2020). Assessing origins</t>
  </si>
  <si>
    <r>
      <t xml:space="preserve">of end-Triassic tholeiites from eastern North America using hafnium isotopes. </t>
    </r>
    <r>
      <rPr>
        <i/>
        <sz val="11"/>
        <rFont val="Times New Roman"/>
        <family val="1"/>
      </rPr>
      <t>Geochemistry</t>
    </r>
  </si>
  <si>
    <r>
      <t>Geophysics, Geosystems,</t>
    </r>
    <r>
      <rPr>
        <sz val="11"/>
        <color theme="1"/>
        <rFont val="Times New Roman"/>
        <family val="1"/>
      </rPr>
      <t xml:space="preserve"> 21, e2020GC008999. https://doi.org/10.1029/2020GC008999.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</si>
</sst>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000"/>
    <numFmt numFmtId="167" formatCode="0.00000"/>
    <numFmt numFmtId="168" formatCode="0.0"/>
  </numFmts>
  <fonts count="42">
    <font>
      <sz val="10"/>
      <name val="Times New Roman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0"/>
      <name val="Symbol"/>
      <family val="1"/>
      <charset val="2"/>
    </font>
    <font>
      <b/>
      <vertAlign val="superscript"/>
      <sz val="10"/>
      <name val="Times New Roman"/>
      <family val="1"/>
    </font>
    <font>
      <sz val="10"/>
      <name val="Times"/>
      <family val="1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i/>
      <vertAlign val="subscript"/>
      <sz val="11"/>
      <name val="Times New Roman"/>
      <family val="1"/>
    </font>
    <font>
      <b/>
      <sz val="12"/>
      <name val="Times New Roman"/>
      <family val="1"/>
      <charset val="2"/>
    </font>
    <font>
      <b/>
      <sz val="12"/>
      <name val="Symbol"/>
      <charset val="2"/>
    </font>
    <font>
      <b/>
      <vertAlign val="subscript"/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00B050"/>
      <name val="Times New Roman"/>
      <family val="1"/>
    </font>
    <font>
      <sz val="10"/>
      <color rgb="FF00B050"/>
      <name val="Times New Roman"/>
      <family val="1"/>
    </font>
    <font>
      <b/>
      <vertAlign val="subscript"/>
      <sz val="10"/>
      <color rgb="FF00B050"/>
      <name val="Times New Roman"/>
      <family val="1"/>
    </font>
    <font>
      <b/>
      <vertAlign val="superscript"/>
      <sz val="10"/>
      <color rgb="FF00B050"/>
      <name val="Times New Roman"/>
      <family val="1"/>
    </font>
    <font>
      <b/>
      <sz val="12"/>
      <color rgb="FF00B050"/>
      <name val="Times New Roman"/>
      <family val="1"/>
      <charset val="2"/>
    </font>
    <font>
      <b/>
      <sz val="12"/>
      <color rgb="FF00B050"/>
      <name val="Symbol"/>
      <charset val="2"/>
    </font>
    <font>
      <b/>
      <vertAlign val="subscript"/>
      <sz val="12"/>
      <color rgb="FF00B050"/>
      <name val="Times New Roman"/>
      <family val="1"/>
    </font>
    <font>
      <sz val="10"/>
      <color theme="0"/>
      <name val="Times New Roman"/>
      <family val="1"/>
    </font>
    <font>
      <b/>
      <sz val="12"/>
      <color rgb="FF00B050"/>
      <name val="Symbol"/>
      <family val="1"/>
      <charset val="2"/>
    </font>
    <font>
      <b/>
      <sz val="10"/>
      <color rgb="FF923FD2"/>
      <name val="Times New Roman"/>
      <family val="1"/>
    </font>
    <font>
      <b/>
      <vertAlign val="superscript"/>
      <sz val="10"/>
      <color rgb="FF923FD2"/>
      <name val="Times New Roman"/>
      <family val="1"/>
    </font>
    <font>
      <b/>
      <sz val="12"/>
      <color rgb="FF923FD2"/>
      <name val="Times New Roman"/>
      <family val="1"/>
      <charset val="2"/>
    </font>
    <font>
      <b/>
      <sz val="12"/>
      <color rgb="FF923FD2"/>
      <name val="Symbol"/>
      <charset val="2"/>
    </font>
    <font>
      <b/>
      <vertAlign val="subscript"/>
      <sz val="12"/>
      <color rgb="FF923FD2"/>
      <name val="Times New Roman"/>
      <family val="1"/>
    </font>
    <font>
      <sz val="10"/>
      <color rgb="FF923FD2"/>
      <name val="Times New Roman"/>
      <family val="1"/>
    </font>
    <font>
      <b/>
      <sz val="12"/>
      <color rgb="FF923FD2"/>
      <name val="Symbol"/>
      <family val="1"/>
      <charset val="2"/>
    </font>
    <font>
      <b/>
      <vertAlign val="subscript"/>
      <sz val="10"/>
      <color rgb="FF923FD2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229">
    <xf numFmtId="0" fontId="0" fillId="0" borderId="0" xfId="0"/>
    <xf numFmtId="0" fontId="2" fillId="0" borderId="0" xfId="2" applyFont="1"/>
    <xf numFmtId="0" fontId="3" fillId="0" borderId="0" xfId="2" applyFont="1"/>
    <xf numFmtId="164" fontId="3" fillId="0" borderId="0" xfId="2" applyNumberFormat="1" applyFont="1" applyAlignment="1">
      <alignment horizontal="center"/>
    </xf>
    <xf numFmtId="164" fontId="3" fillId="0" borderId="0" xfId="2" applyNumberFormat="1" applyFont="1"/>
    <xf numFmtId="0" fontId="2" fillId="0" borderId="0" xfId="2" applyFont="1" applyFill="1" applyBorder="1" applyAlignment="1">
      <alignment horizontal="right"/>
    </xf>
    <xf numFmtId="11" fontId="3" fillId="0" borderId="0" xfId="2" applyNumberFormat="1" applyFont="1" applyFill="1" applyBorder="1"/>
    <xf numFmtId="2" fontId="3" fillId="0" borderId="0" xfId="2" applyNumberFormat="1" applyFont="1" applyAlignment="1">
      <alignment horizontal="center"/>
    </xf>
    <xf numFmtId="164" fontId="5" fillId="0" borderId="0" xfId="2" applyNumberFormat="1" applyFont="1"/>
    <xf numFmtId="2" fontId="3" fillId="0" borderId="0" xfId="2" applyNumberFormat="1" applyFont="1"/>
    <xf numFmtId="165" fontId="3" fillId="0" borderId="0" xfId="2" applyNumberFormat="1" applyFont="1"/>
    <xf numFmtId="0" fontId="5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2" fontId="3" fillId="0" borderId="0" xfId="2" applyNumberFormat="1" applyFont="1" applyFill="1"/>
    <xf numFmtId="0" fontId="3" fillId="0" borderId="0" xfId="2" applyFont="1" applyFill="1"/>
    <xf numFmtId="0" fontId="7" fillId="0" borderId="0" xfId="2" applyFont="1"/>
    <xf numFmtId="0" fontId="7" fillId="0" borderId="0" xfId="0" applyFont="1" applyAlignment="1">
      <alignment horizontal="center"/>
    </xf>
    <xf numFmtId="0" fontId="3" fillId="0" borderId="0" xfId="2" applyFont="1" applyFill="1" applyBorder="1"/>
    <xf numFmtId="11" fontId="6" fillId="0" borderId="0" xfId="2" applyNumberFormat="1" applyFont="1" applyFill="1" applyBorder="1" applyAlignment="1">
      <alignment horizontal="center"/>
    </xf>
    <xf numFmtId="0" fontId="3" fillId="2" borderId="1" xfId="2" applyFont="1" applyFill="1" applyBorder="1"/>
    <xf numFmtId="11" fontId="3" fillId="2" borderId="2" xfId="2" applyNumberFormat="1" applyFont="1" applyFill="1" applyBorder="1"/>
    <xf numFmtId="11" fontId="3" fillId="2" borderId="3" xfId="2" applyNumberFormat="1" applyFont="1" applyFill="1" applyBorder="1"/>
    <xf numFmtId="0" fontId="3" fillId="2" borderId="3" xfId="2" applyFont="1" applyFill="1" applyBorder="1"/>
    <xf numFmtId="0" fontId="3" fillId="0" borderId="0" xfId="2" applyFont="1" applyBorder="1"/>
    <xf numFmtId="0" fontId="2" fillId="0" borderId="4" xfId="2" applyFont="1" applyBorder="1"/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Border="1"/>
    <xf numFmtId="0" fontId="3" fillId="0" borderId="4" xfId="2" applyFont="1" applyBorder="1"/>
    <xf numFmtId="0" fontId="2" fillId="0" borderId="0" xfId="2" applyFont="1" applyFill="1"/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168" fontId="3" fillId="0" borderId="0" xfId="2" applyNumberFormat="1" applyFont="1" applyFill="1" applyAlignment="1">
      <alignment horizontal="center"/>
    </xf>
    <xf numFmtId="2" fontId="3" fillId="0" borderId="0" xfId="2" applyNumberFormat="1" applyFont="1" applyFill="1" applyBorder="1"/>
    <xf numFmtId="2" fontId="3" fillId="0" borderId="0" xfId="2" applyNumberFormat="1" applyFont="1" applyBorder="1"/>
    <xf numFmtId="2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" fillId="0" borderId="4" xfId="2" applyFont="1" applyFill="1" applyBorder="1"/>
    <xf numFmtId="0" fontId="3" fillId="0" borderId="4" xfId="2" applyFont="1" applyFill="1" applyBorder="1" applyAlignment="1">
      <alignment horizontal="center"/>
    </xf>
    <xf numFmtId="0" fontId="3" fillId="0" borderId="4" xfId="2" applyFont="1" applyFill="1" applyBorder="1"/>
    <xf numFmtId="0" fontId="5" fillId="0" borderId="0" xfId="2" applyFont="1" applyFill="1" applyBorder="1" applyAlignment="1">
      <alignment horizontal="left"/>
    </xf>
    <xf numFmtId="0" fontId="2" fillId="0" borderId="0" xfId="2" applyFont="1" applyFill="1" applyAlignment="1">
      <alignment horizontal="right"/>
    </xf>
    <xf numFmtId="0" fontId="5" fillId="0" borderId="0" xfId="2" applyFont="1" applyAlignment="1">
      <alignment horizontal="left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64" fontId="3" fillId="0" borderId="0" xfId="2" applyNumberFormat="1" applyFont="1" applyFill="1" applyBorder="1"/>
    <xf numFmtId="165" fontId="3" fillId="0" borderId="0" xfId="2" applyNumberFormat="1" applyFont="1" applyFill="1" applyBorder="1"/>
    <xf numFmtId="2" fontId="2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2" fontId="3" fillId="0" borderId="0" xfId="2" applyNumberFormat="1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0" fontId="5" fillId="0" borderId="4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2" fontId="2" fillId="2" borderId="5" xfId="2" applyNumberFormat="1" applyFont="1" applyFill="1" applyBorder="1" applyAlignment="1">
      <alignment horizontal="center"/>
    </xf>
    <xf numFmtId="2" fontId="2" fillId="2" borderId="6" xfId="2" applyNumberFormat="1" applyFont="1" applyFill="1" applyBorder="1" applyAlignment="1">
      <alignment horizontal="center"/>
    </xf>
    <xf numFmtId="2" fontId="2" fillId="2" borderId="7" xfId="2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2" fontId="3" fillId="2" borderId="6" xfId="2" applyNumberFormat="1" applyFont="1" applyFill="1" applyBorder="1" applyAlignment="1">
      <alignment horizontal="center"/>
    </xf>
    <xf numFmtId="2" fontId="3" fillId="2" borderId="7" xfId="2" applyNumberFormat="1" applyFont="1" applyFill="1" applyBorder="1" applyAlignment="1">
      <alignment horizontal="center"/>
    </xf>
    <xf numFmtId="0" fontId="2" fillId="0" borderId="0" xfId="2" applyFont="1" applyFill="1" applyBorder="1"/>
    <xf numFmtId="0" fontId="9" fillId="0" borderId="0" xfId="2" applyFont="1"/>
    <xf numFmtId="164" fontId="9" fillId="0" borderId="0" xfId="2" applyNumberFormat="1" applyFont="1" applyFill="1" applyBorder="1" applyAlignment="1"/>
    <xf numFmtId="164" fontId="9" fillId="0" borderId="0" xfId="2" applyNumberFormat="1" applyFont="1"/>
    <xf numFmtId="167" fontId="3" fillId="0" borderId="0" xfId="2" applyNumberFormat="1" applyFont="1" applyFill="1"/>
    <xf numFmtId="2" fontId="3" fillId="0" borderId="16" xfId="2" applyNumberFormat="1" applyFont="1" applyBorder="1" applyAlignment="1">
      <alignment horizontal="center"/>
    </xf>
    <xf numFmtId="2" fontId="3" fillId="0" borderId="17" xfId="2" applyNumberFormat="1" applyFont="1" applyBorder="1" applyAlignment="1">
      <alignment horizontal="center"/>
    </xf>
    <xf numFmtId="167" fontId="3" fillId="0" borderId="17" xfId="2" applyNumberFormat="1" applyFont="1" applyBorder="1" applyAlignment="1">
      <alignment horizontal="center"/>
    </xf>
    <xf numFmtId="2" fontId="3" fillId="0" borderId="18" xfId="2" applyNumberFormat="1" applyFont="1" applyBorder="1" applyAlignment="1">
      <alignment horizontal="center"/>
    </xf>
    <xf numFmtId="2" fontId="3" fillId="0" borderId="19" xfId="2" applyNumberFormat="1" applyFont="1" applyBorder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2" fontId="3" fillId="0" borderId="20" xfId="2" applyNumberFormat="1" applyFont="1" applyBorder="1" applyAlignment="1">
      <alignment horizontal="center"/>
    </xf>
    <xf numFmtId="2" fontId="3" fillId="0" borderId="21" xfId="2" applyNumberFormat="1" applyFont="1" applyBorder="1" applyAlignment="1">
      <alignment horizontal="center"/>
    </xf>
    <xf numFmtId="2" fontId="3" fillId="0" borderId="22" xfId="2" applyNumberFormat="1" applyFont="1" applyBorder="1" applyAlignment="1">
      <alignment horizontal="center"/>
    </xf>
    <xf numFmtId="167" fontId="3" fillId="0" borderId="22" xfId="2" applyNumberFormat="1" applyFont="1" applyBorder="1" applyAlignment="1">
      <alignment horizontal="center"/>
    </xf>
    <xf numFmtId="2" fontId="3" fillId="0" borderId="23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/>
    <xf numFmtId="11" fontId="3" fillId="2" borderId="0" xfId="2" applyNumberFormat="1" applyFont="1" applyFill="1" applyBorder="1" applyAlignment="1">
      <alignment horizontal="center"/>
    </xf>
    <xf numFmtId="11" fontId="3" fillId="2" borderId="0" xfId="1" applyNumberFormat="1" applyFont="1" applyFill="1" applyBorder="1" applyAlignment="1">
      <alignment horizontal="center"/>
    </xf>
    <xf numFmtId="11" fontId="3" fillId="2" borderId="10" xfId="2" applyNumberFormat="1" applyFont="1" applyFill="1" applyBorder="1" applyAlignment="1">
      <alignment horizontal="center"/>
    </xf>
    <xf numFmtId="11" fontId="3" fillId="2" borderId="11" xfId="2" applyNumberFormat="1" applyFont="1" applyFill="1" applyBorder="1" applyAlignment="1">
      <alignment horizontal="center"/>
    </xf>
    <xf numFmtId="0" fontId="12" fillId="0" borderId="0" xfId="2" applyFont="1"/>
    <xf numFmtId="0" fontId="7" fillId="0" borderId="0" xfId="0" applyFont="1" applyAlignment="1"/>
    <xf numFmtId="0" fontId="7" fillId="0" borderId="0" xfId="2" applyFont="1" applyFill="1" applyBorder="1" applyAlignment="1">
      <alignment horizontal="left"/>
    </xf>
    <xf numFmtId="0" fontId="3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1" fillId="0" borderId="0" xfId="2" applyFont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3" fillId="3" borderId="8" xfId="2" applyFont="1" applyFill="1" applyBorder="1" applyAlignment="1">
      <alignment horizontal="center"/>
    </xf>
    <xf numFmtId="165" fontId="3" fillId="3" borderId="8" xfId="2" applyNumberFormat="1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1" fillId="0" borderId="0" xfId="2" applyNumberFormat="1" applyFont="1" applyAlignment="1">
      <alignment horizontal="right"/>
    </xf>
    <xf numFmtId="0" fontId="1" fillId="0" borderId="0" xfId="2" applyFont="1" applyAlignment="1">
      <alignment horizontal="right"/>
    </xf>
    <xf numFmtId="0" fontId="5" fillId="0" borderId="0" xfId="2" applyFont="1" applyBorder="1" applyAlignment="1">
      <alignment horizontal="left"/>
    </xf>
    <xf numFmtId="0" fontId="2" fillId="0" borderId="11" xfId="2" applyFont="1" applyBorder="1"/>
    <xf numFmtId="0" fontId="9" fillId="0" borderId="0" xfId="2" applyFont="1" applyBorder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168" fontId="3" fillId="0" borderId="17" xfId="2" applyNumberFormat="1" applyFont="1" applyBorder="1" applyAlignment="1">
      <alignment horizontal="center"/>
    </xf>
    <xf numFmtId="168" fontId="3" fillId="0" borderId="0" xfId="2" applyNumberFormat="1" applyFont="1" applyBorder="1" applyAlignment="1">
      <alignment horizontal="center"/>
    </xf>
    <xf numFmtId="168" fontId="3" fillId="0" borderId="22" xfId="2" applyNumberFormat="1" applyFont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10" fillId="0" borderId="0" xfId="2" applyFont="1" applyFill="1" applyBorder="1" applyAlignment="1"/>
    <xf numFmtId="167" fontId="3" fillId="2" borderId="6" xfId="2" applyNumberFormat="1" applyFont="1" applyFill="1" applyBorder="1" applyAlignment="1">
      <alignment horizontal="center"/>
    </xf>
    <xf numFmtId="167" fontId="3" fillId="2" borderId="7" xfId="2" applyNumberFormat="1" applyFont="1" applyFill="1" applyBorder="1" applyAlignment="1">
      <alignment horizontal="center"/>
    </xf>
    <xf numFmtId="164" fontId="3" fillId="2" borderId="7" xfId="2" applyNumberFormat="1" applyFont="1" applyFill="1" applyBorder="1" applyAlignment="1">
      <alignment horizontal="center"/>
    </xf>
    <xf numFmtId="167" fontId="3" fillId="3" borderId="8" xfId="2" applyNumberFormat="1" applyFont="1" applyFill="1" applyBorder="1" applyAlignment="1">
      <alignment horizontal="center"/>
    </xf>
    <xf numFmtId="166" fontId="3" fillId="0" borderId="0" xfId="2" applyNumberFormat="1" applyFont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right"/>
    </xf>
    <xf numFmtId="2" fontId="12" fillId="0" borderId="0" xfId="2" applyNumberFormat="1" applyFont="1" applyAlignment="1">
      <alignment horizontal="left"/>
    </xf>
    <xf numFmtId="164" fontId="3" fillId="0" borderId="16" xfId="2" applyNumberFormat="1" applyFont="1" applyFill="1" applyBorder="1" applyAlignment="1">
      <alignment horizontal="center"/>
    </xf>
    <xf numFmtId="164" fontId="3" fillId="0" borderId="17" xfId="2" applyNumberFormat="1" applyFont="1" applyFill="1" applyBorder="1" applyAlignment="1">
      <alignment horizontal="center"/>
    </xf>
    <xf numFmtId="2" fontId="3" fillId="0" borderId="17" xfId="2" applyNumberFormat="1" applyFont="1" applyFill="1" applyBorder="1" applyAlignment="1">
      <alignment horizontal="center"/>
    </xf>
    <xf numFmtId="164" fontId="3" fillId="0" borderId="18" xfId="2" applyNumberFormat="1" applyFont="1" applyFill="1" applyBorder="1" applyAlignment="1">
      <alignment horizontal="center"/>
    </xf>
    <xf numFmtId="164" fontId="3" fillId="0" borderId="19" xfId="2" applyNumberFormat="1" applyFont="1" applyFill="1" applyBorder="1" applyAlignment="1">
      <alignment horizontal="center"/>
    </xf>
    <xf numFmtId="164" fontId="3" fillId="0" borderId="20" xfId="2" applyNumberFormat="1" applyFont="1" applyFill="1" applyBorder="1" applyAlignment="1">
      <alignment horizontal="center"/>
    </xf>
    <xf numFmtId="164" fontId="3" fillId="0" borderId="21" xfId="2" applyNumberFormat="1" applyFont="1" applyFill="1" applyBorder="1" applyAlignment="1">
      <alignment horizontal="center"/>
    </xf>
    <xf numFmtId="164" fontId="3" fillId="0" borderId="22" xfId="2" applyNumberFormat="1" applyFont="1" applyFill="1" applyBorder="1" applyAlignment="1">
      <alignment horizontal="center"/>
    </xf>
    <xf numFmtId="2" fontId="3" fillId="0" borderId="22" xfId="2" applyNumberFormat="1" applyFont="1" applyFill="1" applyBorder="1" applyAlignment="1">
      <alignment horizontal="center"/>
    </xf>
    <xf numFmtId="164" fontId="3" fillId="0" borderId="23" xfId="2" applyNumberFormat="1" applyFont="1" applyFill="1" applyBorder="1" applyAlignment="1">
      <alignment horizontal="center"/>
    </xf>
    <xf numFmtId="0" fontId="13" fillId="0" borderId="9" xfId="0" applyFont="1" applyBorder="1"/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0" fillId="0" borderId="0" xfId="0" applyBorder="1"/>
    <xf numFmtId="0" fontId="0" fillId="0" borderId="14" xfId="0" applyBorder="1"/>
    <xf numFmtId="0" fontId="15" fillId="0" borderId="11" xfId="0" applyFont="1" applyBorder="1"/>
    <xf numFmtId="0" fontId="14" fillId="0" borderId="11" xfId="0" applyFont="1" applyBorder="1"/>
    <xf numFmtId="0" fontId="3" fillId="0" borderId="11" xfId="0" applyFont="1" applyBorder="1"/>
    <xf numFmtId="0" fontId="16" fillId="0" borderId="0" xfId="0" applyFont="1" applyBorder="1"/>
    <xf numFmtId="0" fontId="14" fillId="0" borderId="0" xfId="0" applyFont="1" applyBorder="1"/>
    <xf numFmtId="0" fontId="14" fillId="0" borderId="11" xfId="0" applyFont="1" applyFill="1" applyBorder="1"/>
    <xf numFmtId="0" fontId="11" fillId="0" borderId="0" xfId="0" applyFont="1" applyBorder="1"/>
    <xf numFmtId="0" fontId="0" fillId="0" borderId="4" xfId="0" applyBorder="1"/>
    <xf numFmtId="0" fontId="0" fillId="0" borderId="15" xfId="0" applyBorder="1"/>
    <xf numFmtId="0" fontId="3" fillId="0" borderId="0" xfId="0" applyFont="1" applyBorder="1"/>
    <xf numFmtId="0" fontId="14" fillId="0" borderId="12" xfId="0" applyFont="1" applyBorder="1"/>
    <xf numFmtId="0" fontId="3" fillId="3" borderId="5" xfId="2" applyFont="1" applyFill="1" applyBorder="1" applyAlignment="1">
      <alignment horizontal="center"/>
    </xf>
    <xf numFmtId="2" fontId="3" fillId="3" borderId="6" xfId="2" applyNumberFormat="1" applyFont="1" applyFill="1" applyBorder="1" applyAlignment="1">
      <alignment horizontal="center"/>
    </xf>
    <xf numFmtId="166" fontId="3" fillId="3" borderId="6" xfId="2" applyNumberFormat="1" applyFont="1" applyFill="1" applyBorder="1" applyAlignment="1">
      <alignment horizontal="center"/>
    </xf>
    <xf numFmtId="167" fontId="3" fillId="3" borderId="6" xfId="2" applyNumberFormat="1" applyFont="1" applyFill="1" applyBorder="1" applyAlignment="1">
      <alignment horizontal="center"/>
    </xf>
    <xf numFmtId="167" fontId="3" fillId="3" borderId="7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left"/>
    </xf>
    <xf numFmtId="0" fontId="1" fillId="0" borderId="0" xfId="2" applyFont="1" applyFill="1" applyAlignment="1">
      <alignment horizontal="left"/>
    </xf>
    <xf numFmtId="0" fontId="12" fillId="0" borderId="0" xfId="2" applyFont="1" applyFill="1"/>
    <xf numFmtId="2" fontId="3" fillId="3" borderId="5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4" fontId="12" fillId="0" borderId="0" xfId="2" applyNumberFormat="1" applyFont="1" applyAlignment="1">
      <alignment horizontal="left"/>
    </xf>
    <xf numFmtId="0" fontId="5" fillId="0" borderId="11" xfId="2" applyFont="1" applyBorder="1" applyAlignment="1">
      <alignment horizontal="left"/>
    </xf>
    <xf numFmtId="2" fontId="5" fillId="0" borderId="0" xfId="2" applyNumberFormat="1" applyFont="1" applyBorder="1" applyAlignment="1">
      <alignment horizontal="left"/>
    </xf>
    <xf numFmtId="0" fontId="10" fillId="2" borderId="3" xfId="2" applyFont="1" applyFill="1" applyBorder="1"/>
    <xf numFmtId="2" fontId="23" fillId="0" borderId="0" xfId="2" applyNumberFormat="1" applyFont="1" applyAlignment="1">
      <alignment horizontal="center"/>
    </xf>
    <xf numFmtId="164" fontId="24" fillId="0" borderId="0" xfId="2" applyNumberFormat="1" applyFont="1" applyAlignment="1">
      <alignment horizontal="center"/>
    </xf>
    <xf numFmtId="167" fontId="24" fillId="0" borderId="0" xfId="2" applyNumberFormat="1" applyFont="1" applyAlignment="1">
      <alignment horizontal="center"/>
    </xf>
    <xf numFmtId="2" fontId="24" fillId="0" borderId="0" xfId="2" applyNumberFormat="1" applyFont="1" applyFill="1" applyAlignment="1">
      <alignment horizontal="center"/>
    </xf>
    <xf numFmtId="0" fontId="23" fillId="0" borderId="0" xfId="2" applyFont="1" applyAlignment="1">
      <alignment horizontal="right"/>
    </xf>
    <xf numFmtId="2" fontId="24" fillId="0" borderId="0" xfId="2" applyNumberFormat="1" applyFont="1" applyAlignment="1">
      <alignment horizontal="center"/>
    </xf>
    <xf numFmtId="2" fontId="23" fillId="0" borderId="0" xfId="2" applyNumberFormat="1" applyFont="1" applyBorder="1" applyAlignment="1">
      <alignment horizontal="left"/>
    </xf>
    <xf numFmtId="0" fontId="23" fillId="0" borderId="11" xfId="2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4" fillId="0" borderId="0" xfId="2" applyFont="1" applyBorder="1"/>
    <xf numFmtId="0" fontId="23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3" fillId="0" borderId="0" xfId="2" applyFont="1"/>
    <xf numFmtId="166" fontId="3" fillId="0" borderId="0" xfId="2" applyNumberFormat="1" applyFont="1" applyBorder="1" applyAlignment="1">
      <alignment horizontal="center"/>
    </xf>
    <xf numFmtId="2" fontId="30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0" fontId="26" fillId="0" borderId="0" xfId="2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2" applyFont="1" applyFill="1" applyAlignment="1">
      <alignment horizontal="center"/>
    </xf>
    <xf numFmtId="0" fontId="27" fillId="0" borderId="0" xfId="2" applyFont="1" applyFill="1" applyAlignment="1">
      <alignment horizontal="center"/>
    </xf>
    <xf numFmtId="2" fontId="3" fillId="0" borderId="18" xfId="2" applyNumberFormat="1" applyFont="1" applyFill="1" applyBorder="1" applyAlignment="1">
      <alignment horizontal="center"/>
    </xf>
    <xf numFmtId="2" fontId="3" fillId="0" borderId="20" xfId="2" applyNumberFormat="1" applyFont="1" applyFill="1" applyBorder="1" applyAlignment="1">
      <alignment horizontal="center"/>
    </xf>
    <xf numFmtId="2" fontId="3" fillId="0" borderId="23" xfId="2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1" fontId="3" fillId="2" borderId="9" xfId="2" applyNumberFormat="1" applyFont="1" applyFill="1" applyBorder="1" applyAlignment="1">
      <alignment horizontal="center"/>
    </xf>
    <xf numFmtId="11" fontId="3" fillId="2" borderId="10" xfId="1" applyNumberFormat="1" applyFont="1" applyFill="1" applyBorder="1" applyAlignment="1">
      <alignment horizontal="center"/>
    </xf>
    <xf numFmtId="11" fontId="3" fillId="2" borderId="13" xfId="2" applyNumberFormat="1" applyFont="1" applyFill="1" applyBorder="1" applyAlignment="1">
      <alignment horizontal="center"/>
    </xf>
    <xf numFmtId="11" fontId="3" fillId="2" borderId="14" xfId="2" applyNumberFormat="1" applyFont="1" applyFill="1" applyBorder="1" applyAlignment="1">
      <alignment horizontal="center"/>
    </xf>
    <xf numFmtId="11" fontId="3" fillId="2" borderId="12" xfId="2" applyNumberFormat="1" applyFont="1" applyFill="1" applyBorder="1" applyAlignment="1">
      <alignment horizontal="center"/>
    </xf>
    <xf numFmtId="11" fontId="3" fillId="2" borderId="4" xfId="2" applyNumberFormat="1" applyFont="1" applyFill="1" applyBorder="1" applyAlignment="1">
      <alignment horizontal="center"/>
    </xf>
    <xf numFmtId="11" fontId="3" fillId="2" borderId="4" xfId="1" applyNumberFormat="1" applyFont="1" applyFill="1" applyBorder="1" applyAlignment="1">
      <alignment horizontal="center"/>
    </xf>
    <xf numFmtId="11" fontId="3" fillId="2" borderId="15" xfId="2" applyNumberFormat="1" applyFont="1" applyFill="1" applyBorder="1" applyAlignment="1">
      <alignment horizontal="center"/>
    </xf>
    <xf numFmtId="11" fontId="3" fillId="0" borderId="0" xfId="2" applyNumberFormat="1" applyFont="1" applyAlignment="1">
      <alignment horizontal="center"/>
    </xf>
    <xf numFmtId="167" fontId="3" fillId="0" borderId="0" xfId="2" applyNumberFormat="1" applyFont="1" applyFill="1" applyBorder="1" applyAlignment="1">
      <alignment horizontal="center"/>
    </xf>
    <xf numFmtId="2" fontId="3" fillId="0" borderId="16" xfId="2" applyNumberFormat="1" applyFont="1" applyFill="1" applyBorder="1" applyAlignment="1">
      <alignment horizontal="center"/>
    </xf>
    <xf numFmtId="2" fontId="3" fillId="0" borderId="19" xfId="2" applyNumberFormat="1" applyFont="1" applyFill="1" applyBorder="1" applyAlignment="1">
      <alignment horizontal="center"/>
    </xf>
    <xf numFmtId="2" fontId="3" fillId="0" borderId="21" xfId="2" applyNumberFormat="1" applyFont="1" applyFill="1" applyBorder="1" applyAlignment="1">
      <alignment horizontal="center"/>
    </xf>
    <xf numFmtId="0" fontId="32" fillId="0" borderId="0" xfId="2" applyFont="1" applyAlignment="1">
      <alignment horizontal="center"/>
    </xf>
    <xf numFmtId="0" fontId="33" fillId="0" borderId="0" xfId="2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center"/>
    </xf>
    <xf numFmtId="2" fontId="32" fillId="0" borderId="0" xfId="2" applyNumberFormat="1" applyFont="1" applyAlignment="1">
      <alignment horizontal="center"/>
    </xf>
    <xf numFmtId="0" fontId="32" fillId="0" borderId="0" xfId="2" applyFont="1" applyBorder="1" applyAlignment="1">
      <alignment horizontal="center"/>
    </xf>
    <xf numFmtId="0" fontId="32" fillId="0" borderId="0" xfId="2" applyFont="1"/>
    <xf numFmtId="0" fontId="32" fillId="0" borderId="11" xfId="2" applyFont="1" applyBorder="1" applyAlignment="1">
      <alignment horizontal="center"/>
    </xf>
    <xf numFmtId="2" fontId="37" fillId="0" borderId="0" xfId="2" applyNumberFormat="1" applyFont="1" applyBorder="1" applyAlignment="1">
      <alignment horizontal="center"/>
    </xf>
    <xf numFmtId="0" fontId="32" fillId="0" borderId="11" xfId="2" applyFont="1" applyBorder="1"/>
    <xf numFmtId="2" fontId="32" fillId="0" borderId="0" xfId="2" applyNumberFormat="1" applyFont="1" applyBorder="1" applyAlignment="1">
      <alignment horizontal="left"/>
    </xf>
    <xf numFmtId="0" fontId="37" fillId="0" borderId="0" xfId="2" applyFont="1" applyBorder="1"/>
    <xf numFmtId="0" fontId="37" fillId="0" borderId="0" xfId="2" applyFont="1" applyBorder="1" applyAlignment="1">
      <alignment horizontal="center"/>
    </xf>
    <xf numFmtId="0" fontId="32" fillId="0" borderId="0" xfId="2" applyFont="1" applyAlignment="1">
      <alignment horizontal="right"/>
    </xf>
    <xf numFmtId="2" fontId="37" fillId="0" borderId="0" xfId="2" applyNumberFormat="1" applyFont="1" applyAlignment="1">
      <alignment horizontal="center"/>
    </xf>
    <xf numFmtId="2" fontId="37" fillId="0" borderId="0" xfId="2" applyNumberFormat="1" applyFont="1" applyFill="1" applyAlignment="1">
      <alignment horizontal="center"/>
    </xf>
    <xf numFmtId="164" fontId="37" fillId="0" borderId="0" xfId="2" applyNumberFormat="1" applyFont="1" applyAlignment="1">
      <alignment horizontal="center"/>
    </xf>
    <xf numFmtId="167" fontId="37" fillId="0" borderId="0" xfId="2" applyNumberFormat="1" applyFont="1" applyAlignment="1">
      <alignment horizontal="center"/>
    </xf>
    <xf numFmtId="165" fontId="37" fillId="0" borderId="0" xfId="2" applyNumberFormat="1" applyFont="1" applyAlignment="1">
      <alignment horizontal="center"/>
    </xf>
    <xf numFmtId="0" fontId="22" fillId="0" borderId="0" xfId="2" applyFont="1" applyFill="1"/>
    <xf numFmtId="0" fontId="32" fillId="0" borderId="0" xfId="2" applyFont="1" applyFill="1" applyBorder="1" applyAlignment="1">
      <alignment horizontal="center"/>
    </xf>
    <xf numFmtId="0" fontId="34" fillId="0" borderId="0" xfId="2" applyFont="1" applyFill="1" applyBorder="1" applyAlignment="1">
      <alignment horizontal="center"/>
    </xf>
    <xf numFmtId="0" fontId="41" fillId="0" borderId="11" xfId="0" applyFont="1" applyBorder="1"/>
  </cellXfs>
  <cellStyles count="3">
    <cellStyle name="Normal" xfId="0" builtinId="0"/>
    <cellStyle name="Normal_model-DM" xfId="1" xr:uid="{00000000-0005-0000-0000-000003000000}"/>
    <cellStyle name="Normal_wedge-model-3" xfId="2" xr:uid="{00000000-0005-0000-0000-000007000000}"/>
  </cellStyles>
  <dxfs count="0"/>
  <tableStyles count="0" defaultTableStyle="TableStyleMedium2" defaultPivotStyle="PivotStyleLight16"/>
  <colors>
    <mruColors>
      <color rgb="FF923FD2"/>
      <color rgb="FFFFFF99"/>
      <color rgb="FFFF8D8F"/>
      <color rgb="FFD6D4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33AD-F8B8-0D4D-A621-56A4289583CC}">
  <dimension ref="B1:I58"/>
  <sheetViews>
    <sheetView tabSelected="1" zoomScale="120" zoomScaleNormal="120" workbookViewId="0">
      <selection activeCell="B8" sqref="B8"/>
    </sheetView>
  </sheetViews>
  <sheetFormatPr baseColWidth="10" defaultRowHeight="13"/>
  <cols>
    <col min="1" max="1" width="4.3984375" customWidth="1"/>
    <col min="3" max="3" width="11" customWidth="1"/>
    <col min="9" max="9" width="11.59765625" customWidth="1"/>
  </cols>
  <sheetData>
    <row r="1" spans="2:9" ht="14" thickBot="1"/>
    <row r="2" spans="2:9" ht="18">
      <c r="B2" s="136" t="s">
        <v>35</v>
      </c>
      <c r="C2" s="137"/>
      <c r="D2" s="137"/>
      <c r="E2" s="137"/>
      <c r="F2" s="137"/>
      <c r="G2" s="137"/>
      <c r="H2" s="137"/>
      <c r="I2" s="138"/>
    </row>
    <row r="3" spans="2:9">
      <c r="B3" s="139"/>
      <c r="C3" s="140"/>
      <c r="D3" s="140"/>
      <c r="E3" s="140"/>
      <c r="F3" s="140"/>
      <c r="G3" s="140"/>
      <c r="H3" s="140"/>
      <c r="I3" s="141"/>
    </row>
    <row r="4" spans="2:9" ht="14">
      <c r="B4" s="142" t="s">
        <v>39</v>
      </c>
      <c r="C4" s="140"/>
      <c r="D4" s="140"/>
      <c r="E4" s="140"/>
      <c r="F4" s="140"/>
      <c r="G4" s="140"/>
      <c r="H4" s="140"/>
      <c r="I4" s="141"/>
    </row>
    <row r="5" spans="2:9" ht="14">
      <c r="B5" s="143" t="s">
        <v>174</v>
      </c>
      <c r="C5" s="140"/>
      <c r="D5" s="140"/>
      <c r="E5" s="140"/>
      <c r="F5" s="140"/>
      <c r="G5" s="140"/>
      <c r="H5" s="140"/>
      <c r="I5" s="141"/>
    </row>
    <row r="6" spans="2:9" ht="14">
      <c r="B6" s="143" t="s">
        <v>175</v>
      </c>
      <c r="C6" s="140"/>
      <c r="D6" s="140"/>
      <c r="E6" s="140"/>
      <c r="F6" s="140"/>
      <c r="G6" s="140"/>
      <c r="H6" s="140"/>
      <c r="I6" s="141"/>
    </row>
    <row r="7" spans="2:9" ht="14">
      <c r="B7" s="228" t="s">
        <v>176</v>
      </c>
      <c r="C7" s="140"/>
      <c r="D7" s="140"/>
      <c r="E7" s="140"/>
      <c r="F7" s="140"/>
      <c r="G7" s="140"/>
      <c r="H7" s="140"/>
      <c r="I7" s="141"/>
    </row>
    <row r="8" spans="2:9">
      <c r="B8" s="144"/>
      <c r="C8" s="140"/>
      <c r="D8" s="140"/>
      <c r="E8" s="140"/>
      <c r="F8" s="140"/>
      <c r="G8" s="140"/>
      <c r="H8" s="140"/>
      <c r="I8" s="141"/>
    </row>
    <row r="9" spans="2:9">
      <c r="B9" s="144"/>
      <c r="C9" s="140"/>
      <c r="D9" s="140"/>
      <c r="E9" s="140"/>
      <c r="F9" s="140"/>
      <c r="G9" s="140"/>
      <c r="H9" s="140"/>
      <c r="I9" s="141"/>
    </row>
    <row r="10" spans="2:9" ht="14">
      <c r="B10" s="143" t="s">
        <v>57</v>
      </c>
      <c r="C10" s="140"/>
      <c r="D10" s="140"/>
      <c r="E10" s="140"/>
      <c r="F10" s="140"/>
      <c r="G10" s="140"/>
      <c r="H10" s="140"/>
      <c r="I10" s="141"/>
    </row>
    <row r="11" spans="2:9" ht="14">
      <c r="B11" s="143" t="s">
        <v>58</v>
      </c>
      <c r="C11" s="140"/>
      <c r="D11" s="140"/>
      <c r="E11" s="140"/>
      <c r="F11" s="140"/>
      <c r="G11" s="140"/>
      <c r="H11" s="140"/>
      <c r="I11" s="141"/>
    </row>
    <row r="12" spans="2:9" ht="14">
      <c r="B12" s="143" t="s">
        <v>59</v>
      </c>
      <c r="C12" s="140"/>
      <c r="D12" s="140"/>
      <c r="E12" s="140"/>
      <c r="F12" s="140"/>
      <c r="G12" s="140"/>
      <c r="H12" s="140"/>
      <c r="I12" s="141"/>
    </row>
    <row r="13" spans="2:9" ht="18">
      <c r="B13" s="143" t="s">
        <v>60</v>
      </c>
      <c r="C13" s="140"/>
      <c r="D13" s="140"/>
      <c r="E13" s="140"/>
      <c r="F13" s="140"/>
      <c r="G13" s="140"/>
      <c r="H13" s="140"/>
      <c r="I13" s="141"/>
    </row>
    <row r="14" spans="2:9" ht="14">
      <c r="B14" s="143" t="s">
        <v>70</v>
      </c>
      <c r="C14" s="140"/>
      <c r="D14" s="140"/>
      <c r="E14" s="140"/>
      <c r="F14" s="140"/>
      <c r="G14" s="140"/>
      <c r="H14" s="140"/>
      <c r="I14" s="141"/>
    </row>
    <row r="15" spans="2:9" ht="14">
      <c r="B15" s="143" t="s">
        <v>116</v>
      </c>
      <c r="C15" s="140"/>
      <c r="D15" s="140"/>
      <c r="E15" s="140"/>
      <c r="F15" s="140"/>
      <c r="G15" s="140"/>
      <c r="H15" s="140"/>
      <c r="I15" s="141"/>
    </row>
    <row r="16" spans="2:9" ht="14">
      <c r="B16" s="143" t="s">
        <v>117</v>
      </c>
      <c r="C16" s="140"/>
      <c r="D16" s="140"/>
      <c r="E16" s="140"/>
      <c r="F16" s="140"/>
      <c r="G16" s="140"/>
      <c r="H16" s="140"/>
      <c r="I16" s="141"/>
    </row>
    <row r="17" spans="2:9" ht="14">
      <c r="B17" s="143" t="s">
        <v>118</v>
      </c>
      <c r="C17" s="140"/>
      <c r="D17" s="140"/>
      <c r="E17" s="140"/>
      <c r="F17" s="140"/>
      <c r="G17" s="140"/>
      <c r="H17" s="140"/>
      <c r="I17" s="141"/>
    </row>
    <row r="18" spans="2:9" ht="14">
      <c r="B18" s="143"/>
      <c r="C18" s="140"/>
      <c r="D18" s="140"/>
      <c r="E18" s="140"/>
      <c r="F18" s="140"/>
      <c r="G18" s="140"/>
      <c r="H18" s="140"/>
      <c r="I18" s="141"/>
    </row>
    <row r="19" spans="2:9">
      <c r="B19" s="139"/>
      <c r="C19" s="140"/>
      <c r="D19" s="140"/>
      <c r="E19" s="140"/>
      <c r="F19" s="140"/>
      <c r="G19" s="140"/>
      <c r="H19" s="140"/>
      <c r="I19" s="141"/>
    </row>
    <row r="20" spans="2:9" ht="14">
      <c r="B20" s="143" t="s">
        <v>71</v>
      </c>
      <c r="C20" s="140"/>
      <c r="D20" s="140"/>
      <c r="E20" s="140"/>
      <c r="F20" s="140"/>
      <c r="G20" s="140"/>
      <c r="H20" s="140"/>
      <c r="I20" s="141"/>
    </row>
    <row r="21" spans="2:9" ht="14">
      <c r="B21" s="143" t="s">
        <v>61</v>
      </c>
      <c r="C21" s="140"/>
      <c r="D21" s="140"/>
      <c r="E21" s="140"/>
      <c r="F21" s="140"/>
      <c r="G21" s="140"/>
      <c r="H21" s="140"/>
      <c r="I21" s="141"/>
    </row>
    <row r="22" spans="2:9">
      <c r="B22" s="139"/>
      <c r="C22" s="140"/>
      <c r="D22" s="140"/>
      <c r="E22" s="140"/>
      <c r="F22" s="140"/>
      <c r="G22" s="140"/>
      <c r="H22" s="140"/>
      <c r="I22" s="141"/>
    </row>
    <row r="23" spans="2:9" ht="15" thickBot="1">
      <c r="B23" s="139"/>
      <c r="C23" s="145" t="s">
        <v>115</v>
      </c>
      <c r="D23" s="140"/>
      <c r="E23" s="140"/>
      <c r="F23" s="140"/>
      <c r="G23" s="140"/>
      <c r="H23" s="140"/>
      <c r="I23" s="141"/>
    </row>
    <row r="24" spans="2:9" ht="15" thickBot="1">
      <c r="B24" s="139"/>
      <c r="C24" s="101">
        <v>370</v>
      </c>
      <c r="D24" s="146"/>
      <c r="E24" s="140"/>
      <c r="F24" s="140"/>
      <c r="G24" s="140"/>
      <c r="H24" s="140"/>
      <c r="I24" s="141"/>
    </row>
    <row r="25" spans="2:9">
      <c r="B25" s="139"/>
      <c r="C25" s="140"/>
      <c r="D25" s="140"/>
      <c r="E25" s="140"/>
      <c r="F25" s="140"/>
      <c r="G25" s="140"/>
      <c r="H25" s="140"/>
      <c r="I25" s="141"/>
    </row>
    <row r="26" spans="2:9" ht="14">
      <c r="B26" s="143" t="s">
        <v>63</v>
      </c>
      <c r="C26" s="140"/>
      <c r="D26" s="140"/>
      <c r="E26" s="140"/>
      <c r="F26" s="140"/>
      <c r="G26" s="140"/>
      <c r="H26" s="140"/>
      <c r="I26" s="141"/>
    </row>
    <row r="27" spans="2:9">
      <c r="B27" s="139"/>
      <c r="C27" s="140"/>
      <c r="D27" s="140"/>
      <c r="E27" s="140"/>
      <c r="F27" s="140"/>
      <c r="G27" s="140"/>
      <c r="H27" s="140"/>
      <c r="I27" s="141"/>
    </row>
    <row r="28" spans="2:9" ht="15" thickBot="1">
      <c r="B28" s="139"/>
      <c r="C28" s="145" t="s">
        <v>114</v>
      </c>
      <c r="D28" s="140"/>
      <c r="E28" s="140"/>
      <c r="F28" s="140"/>
      <c r="G28" s="140"/>
      <c r="H28" s="140"/>
      <c r="I28" s="141"/>
    </row>
    <row r="29" spans="2:9" ht="15" thickBot="1">
      <c r="B29" s="139"/>
      <c r="C29" s="102">
        <v>201</v>
      </c>
      <c r="D29" s="146"/>
      <c r="E29" s="140"/>
      <c r="F29" s="140"/>
      <c r="G29" s="140"/>
      <c r="H29" s="140"/>
      <c r="I29" s="141"/>
    </row>
    <row r="30" spans="2:9">
      <c r="B30" s="139"/>
      <c r="C30" s="140"/>
      <c r="D30" s="140"/>
      <c r="E30" s="140"/>
      <c r="F30" s="140"/>
      <c r="G30" s="140"/>
      <c r="H30" s="140"/>
      <c r="I30" s="141"/>
    </row>
    <row r="31" spans="2:9" ht="14">
      <c r="B31" s="143" t="s">
        <v>62</v>
      </c>
      <c r="C31" s="140"/>
      <c r="D31" s="140"/>
      <c r="E31" s="140"/>
      <c r="F31" s="140"/>
      <c r="G31" s="140"/>
      <c r="H31" s="140"/>
      <c r="I31" s="141"/>
    </row>
    <row r="32" spans="2:9" ht="14">
      <c r="B32" s="143" t="s">
        <v>64</v>
      </c>
      <c r="C32" s="140"/>
      <c r="D32" s="140"/>
      <c r="E32" s="140"/>
      <c r="F32" s="140"/>
      <c r="G32" s="140"/>
      <c r="H32" s="140"/>
      <c r="I32" s="141"/>
    </row>
    <row r="33" spans="2:9" ht="14">
      <c r="B33" s="143"/>
      <c r="C33" s="140"/>
      <c r="D33" s="140"/>
      <c r="E33" s="140"/>
      <c r="F33" s="140"/>
      <c r="G33" s="140"/>
      <c r="H33" s="140"/>
      <c r="I33" s="141"/>
    </row>
    <row r="34" spans="2:9" ht="15" thickBot="1">
      <c r="B34" s="139"/>
      <c r="C34" s="145" t="s">
        <v>40</v>
      </c>
      <c r="D34" s="140"/>
      <c r="E34" s="140"/>
      <c r="F34" s="140"/>
      <c r="G34" s="140"/>
      <c r="H34" s="140"/>
      <c r="I34" s="141"/>
    </row>
    <row r="35" spans="2:9" ht="14" thickBot="1">
      <c r="B35" s="139"/>
      <c r="C35" s="99">
        <v>1</v>
      </c>
      <c r="D35" s="151"/>
      <c r="E35" s="140"/>
      <c r="F35" s="140"/>
      <c r="G35" s="140"/>
      <c r="H35" s="140"/>
      <c r="I35" s="141"/>
    </row>
    <row r="36" spans="2:9">
      <c r="B36" s="139"/>
      <c r="C36" s="140"/>
      <c r="D36" s="140"/>
      <c r="E36" s="140"/>
      <c r="F36" s="140"/>
      <c r="G36" s="140"/>
      <c r="H36" s="140"/>
      <c r="I36" s="141"/>
    </row>
    <row r="37" spans="2:9" ht="14">
      <c r="B37" s="143" t="s">
        <v>72</v>
      </c>
      <c r="C37" s="140"/>
      <c r="D37" s="140"/>
      <c r="E37" s="140"/>
      <c r="F37" s="140"/>
      <c r="G37" s="140"/>
      <c r="H37" s="140"/>
      <c r="I37" s="141"/>
    </row>
    <row r="38" spans="2:9">
      <c r="B38" s="139"/>
      <c r="C38" s="140"/>
      <c r="D38" s="140"/>
      <c r="E38" s="140"/>
      <c r="F38" s="140"/>
      <c r="G38" s="140"/>
      <c r="H38" s="140"/>
      <c r="I38" s="141"/>
    </row>
    <row r="39" spans="2:9" ht="15" thickBot="1">
      <c r="B39" s="139"/>
      <c r="C39" s="145" t="s">
        <v>65</v>
      </c>
      <c r="D39" s="140"/>
      <c r="E39" s="140"/>
      <c r="F39" s="140"/>
      <c r="G39" s="140"/>
      <c r="H39" s="140"/>
      <c r="I39" s="141"/>
    </row>
    <row r="40" spans="2:9" ht="14" thickBot="1">
      <c r="B40" s="139"/>
      <c r="C40" s="99">
        <v>0.02</v>
      </c>
      <c r="D40" s="151"/>
      <c r="E40" s="140"/>
      <c r="F40" s="140"/>
      <c r="G40" s="140"/>
      <c r="H40" s="140"/>
      <c r="I40" s="141"/>
    </row>
    <row r="41" spans="2:9">
      <c r="B41" s="139"/>
      <c r="C41" s="140"/>
      <c r="D41" s="140"/>
      <c r="E41" s="140"/>
      <c r="F41" s="140"/>
      <c r="G41" s="140"/>
      <c r="H41" s="140"/>
      <c r="I41" s="141"/>
    </row>
    <row r="42" spans="2:9" ht="15" thickBot="1">
      <c r="B42" s="139"/>
      <c r="C42" s="145" t="s">
        <v>66</v>
      </c>
      <c r="D42" s="140"/>
      <c r="E42" s="140"/>
      <c r="F42" s="140"/>
      <c r="G42" s="140"/>
      <c r="H42" s="140"/>
      <c r="I42" s="141"/>
    </row>
    <row r="43" spans="2:9" ht="14" thickBot="1">
      <c r="B43" s="139"/>
      <c r="C43" s="100">
        <v>0.02</v>
      </c>
      <c r="D43" s="151"/>
      <c r="E43" s="140"/>
      <c r="F43" s="140"/>
      <c r="G43" s="140"/>
      <c r="H43" s="140"/>
      <c r="I43" s="141"/>
    </row>
    <row r="44" spans="2:9">
      <c r="B44" s="139"/>
      <c r="C44" s="140"/>
      <c r="D44" s="140"/>
      <c r="E44" s="140"/>
      <c r="F44" s="140"/>
      <c r="G44" s="140"/>
      <c r="H44" s="140"/>
      <c r="I44" s="141"/>
    </row>
    <row r="45" spans="2:9" ht="14">
      <c r="B45" s="143" t="s">
        <v>123</v>
      </c>
      <c r="C45" s="140"/>
      <c r="D45" s="140"/>
      <c r="E45" s="140"/>
      <c r="F45" s="140"/>
      <c r="G45" s="140"/>
      <c r="H45" s="140"/>
      <c r="I45" s="141"/>
    </row>
    <row r="46" spans="2:9" ht="14">
      <c r="B46" s="143" t="s">
        <v>67</v>
      </c>
      <c r="C46" s="140"/>
      <c r="D46" s="140"/>
      <c r="E46" s="140"/>
      <c r="F46" s="140"/>
      <c r="G46" s="140"/>
      <c r="H46" s="140"/>
      <c r="I46" s="141"/>
    </row>
    <row r="47" spans="2:9" ht="14">
      <c r="B47" s="143" t="s">
        <v>41</v>
      </c>
      <c r="C47" s="140"/>
      <c r="D47" s="140"/>
      <c r="E47" s="140"/>
      <c r="F47" s="140"/>
      <c r="G47" s="140"/>
      <c r="H47" s="140"/>
      <c r="I47" s="141"/>
    </row>
    <row r="48" spans="2:9" ht="14">
      <c r="B48" s="147" t="s">
        <v>73</v>
      </c>
      <c r="C48" s="140"/>
      <c r="D48" s="140"/>
      <c r="E48" s="140"/>
      <c r="F48" s="140"/>
      <c r="G48" s="140"/>
      <c r="H48" s="140"/>
      <c r="I48" s="141"/>
    </row>
    <row r="49" spans="2:9">
      <c r="B49" s="139"/>
      <c r="C49" s="140"/>
      <c r="D49" s="140"/>
      <c r="E49" s="140"/>
      <c r="F49" s="140"/>
      <c r="G49" s="140"/>
      <c r="H49" s="140"/>
      <c r="I49" s="141"/>
    </row>
    <row r="50" spans="2:9" ht="14" thickBot="1">
      <c r="B50" s="139"/>
      <c r="C50" s="148" t="s">
        <v>42</v>
      </c>
      <c r="D50" s="140"/>
      <c r="E50" s="140"/>
      <c r="F50" s="140"/>
      <c r="G50" s="140"/>
      <c r="H50" s="140"/>
      <c r="I50" s="141"/>
    </row>
    <row r="51" spans="2:9" ht="14" thickBot="1">
      <c r="B51" s="139"/>
      <c r="C51" s="99">
        <v>0.06</v>
      </c>
      <c r="D51" s="140"/>
      <c r="E51" s="140"/>
      <c r="F51" s="140"/>
      <c r="G51" s="140"/>
      <c r="H51" s="140"/>
      <c r="I51" s="141"/>
    </row>
    <row r="52" spans="2:9">
      <c r="B52" s="139"/>
      <c r="C52" s="140"/>
      <c r="D52" s="140"/>
      <c r="E52" s="140"/>
      <c r="F52" s="140"/>
      <c r="G52" s="140"/>
      <c r="H52" s="140"/>
      <c r="I52" s="141"/>
    </row>
    <row r="53" spans="2:9" ht="14">
      <c r="B53" s="143" t="s">
        <v>119</v>
      </c>
      <c r="C53" s="140"/>
      <c r="D53" s="140"/>
      <c r="E53" s="140"/>
      <c r="F53" s="140"/>
      <c r="G53" s="140"/>
      <c r="H53" s="140"/>
      <c r="I53" s="141"/>
    </row>
    <row r="54" spans="2:9" ht="14">
      <c r="B54" s="143" t="s">
        <v>120</v>
      </c>
      <c r="C54" s="140"/>
      <c r="D54" s="140"/>
      <c r="E54" s="140"/>
      <c r="F54" s="140"/>
      <c r="G54" s="140"/>
      <c r="H54" s="140"/>
      <c r="I54" s="141"/>
    </row>
    <row r="55" spans="2:9">
      <c r="B55" s="139"/>
      <c r="C55" s="140"/>
      <c r="D55" s="140"/>
      <c r="E55" s="140"/>
      <c r="F55" s="140"/>
      <c r="G55" s="140"/>
      <c r="H55" s="140"/>
      <c r="I55" s="141"/>
    </row>
    <row r="56" spans="2:9" ht="14">
      <c r="B56" s="143" t="s">
        <v>74</v>
      </c>
      <c r="C56" s="140"/>
      <c r="D56" s="140"/>
      <c r="E56" s="140"/>
      <c r="F56" s="140"/>
      <c r="G56" s="140"/>
      <c r="H56" s="140"/>
      <c r="I56" s="141"/>
    </row>
    <row r="57" spans="2:9" ht="14">
      <c r="B57" s="143" t="s">
        <v>121</v>
      </c>
      <c r="C57" s="140"/>
      <c r="D57" s="140"/>
      <c r="E57" s="140"/>
      <c r="F57" s="140"/>
      <c r="G57" s="140"/>
      <c r="H57" s="140"/>
      <c r="I57" s="141"/>
    </row>
    <row r="58" spans="2:9" ht="15" thickBot="1">
      <c r="B58" s="152" t="s">
        <v>122</v>
      </c>
      <c r="C58" s="149"/>
      <c r="D58" s="149"/>
      <c r="E58" s="149"/>
      <c r="F58" s="149"/>
      <c r="G58" s="149"/>
      <c r="H58" s="149"/>
      <c r="I58" s="1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78"/>
  <sheetViews>
    <sheetView zoomScaleNormal="100" workbookViewId="0">
      <selection activeCell="B178" sqref="B178"/>
    </sheetView>
  </sheetViews>
  <sheetFormatPr baseColWidth="10" defaultColWidth="13.3984375" defaultRowHeight="13"/>
  <cols>
    <col min="1" max="1" width="13.3984375" style="1" customWidth="1"/>
    <col min="2" max="2" width="11.19921875" style="2" customWidth="1"/>
    <col min="3" max="3" width="11.59765625" style="2" customWidth="1"/>
    <col min="4" max="4" width="12" style="2" customWidth="1"/>
    <col min="5" max="5" width="10.796875" style="2" customWidth="1"/>
    <col min="6" max="6" width="11.3984375" style="2" customWidth="1"/>
    <col min="7" max="7" width="12" style="2" customWidth="1"/>
    <col min="8" max="8" width="12.19921875" style="2" bestFit="1" customWidth="1"/>
    <col min="9" max="12" width="10.796875" style="2" bestFit="1" customWidth="1"/>
    <col min="13" max="13" width="12" style="2" bestFit="1" customWidth="1"/>
    <col min="14" max="16" width="11.19921875" style="2" bestFit="1" customWidth="1"/>
    <col min="17" max="17" width="11.3984375" style="2" customWidth="1"/>
    <col min="18" max="18" width="12.796875" style="2" customWidth="1"/>
    <col min="19" max="19" width="12.19921875" style="2" customWidth="1"/>
    <col min="20" max="20" width="11" style="2" bestFit="1" customWidth="1"/>
    <col min="21" max="21" width="10.796875" style="2" bestFit="1" customWidth="1"/>
    <col min="22" max="22" width="11.3984375" style="2" customWidth="1"/>
    <col min="23" max="23" width="9.59765625" style="2" customWidth="1"/>
    <col min="24" max="24" width="11.59765625" style="2" customWidth="1"/>
    <col min="25" max="28" width="7.59765625" style="2" bestFit="1" customWidth="1"/>
    <col min="29" max="29" width="9" style="2" customWidth="1"/>
    <col min="30" max="30" width="7.3984375" style="2" bestFit="1" customWidth="1"/>
    <col min="31" max="31" width="11.19921875" style="2" customWidth="1"/>
    <col min="32" max="32" width="7.3984375" style="2" bestFit="1" customWidth="1"/>
    <col min="33" max="16384" width="13.3984375" style="2"/>
  </cols>
  <sheetData>
    <row r="1" spans="1:24">
      <c r="A1" s="88" t="s">
        <v>105</v>
      </c>
    </row>
    <row r="3" spans="1:24">
      <c r="B3" s="88" t="s">
        <v>43</v>
      </c>
      <c r="M3" s="11" t="s">
        <v>44</v>
      </c>
      <c r="V3" s="88" t="s">
        <v>47</v>
      </c>
    </row>
    <row r="4" spans="1:24" ht="19" thickBot="1">
      <c r="B4" s="12" t="s">
        <v>23</v>
      </c>
      <c r="C4" s="12" t="s">
        <v>22</v>
      </c>
      <c r="D4" s="12" t="s">
        <v>21</v>
      </c>
      <c r="E4" s="12" t="s">
        <v>15</v>
      </c>
      <c r="F4" s="12" t="s">
        <v>16</v>
      </c>
      <c r="G4" s="12" t="s">
        <v>19</v>
      </c>
      <c r="H4" s="12" t="s">
        <v>18</v>
      </c>
      <c r="I4" s="12" t="s">
        <v>17</v>
      </c>
      <c r="J4" s="12" t="s">
        <v>20</v>
      </c>
      <c r="K4" s="1"/>
      <c r="M4" s="82" t="s">
        <v>87</v>
      </c>
      <c r="N4" s="82" t="s">
        <v>88</v>
      </c>
      <c r="O4" s="82" t="s">
        <v>89</v>
      </c>
      <c r="P4" s="82" t="s">
        <v>90</v>
      </c>
      <c r="Q4" s="82" t="s">
        <v>91</v>
      </c>
      <c r="R4" s="82" t="s">
        <v>92</v>
      </c>
      <c r="S4" s="162" t="s">
        <v>93</v>
      </c>
      <c r="T4" s="162" t="s">
        <v>94</v>
      </c>
      <c r="V4" s="82" t="s">
        <v>91</v>
      </c>
      <c r="W4" s="1"/>
      <c r="X4" s="82" t="s">
        <v>92</v>
      </c>
    </row>
    <row r="5" spans="1:24" ht="14" thickBot="1">
      <c r="B5" s="31">
        <f>4.7/1000</f>
        <v>4.7000000000000002E-3</v>
      </c>
      <c r="C5" s="32">
        <f>13.7/1000</f>
        <v>1.3699999999999999E-2</v>
      </c>
      <c r="D5" s="32">
        <f>23.2/1000</f>
        <v>2.3199999999999998E-2</v>
      </c>
      <c r="E5" s="32">
        <f>0.088</f>
        <v>8.7999999999999995E-2</v>
      </c>
      <c r="F5" s="32">
        <v>9.8000000000000007</v>
      </c>
      <c r="G5" s="32">
        <v>0.27</v>
      </c>
      <c r="H5" s="63">
        <v>0.71299999999999997</v>
      </c>
      <c r="I5" s="63">
        <v>0.19900000000000001</v>
      </c>
      <c r="J5" s="119">
        <v>6.3E-2</v>
      </c>
      <c r="M5" s="153">
        <v>18</v>
      </c>
      <c r="N5" s="154">
        <f>0.169*M5+12.39</f>
        <v>15.432</v>
      </c>
      <c r="O5" s="154">
        <f>1.179*M5+16.19</f>
        <v>37.412000000000006</v>
      </c>
      <c r="P5" s="155">
        <f>0.000468*M5+0.693955</f>
        <v>0.70237899999999998</v>
      </c>
      <c r="Q5" s="156">
        <f>$V$5*((S5/10^4)+1)</f>
        <v>0.51322598363799998</v>
      </c>
      <c r="R5" s="157">
        <f>-0.000198*M5+0.286805</f>
        <v>0.28324099999999997</v>
      </c>
      <c r="S5" s="53">
        <f>-3.964*M5+82.978</f>
        <v>11.625999999999991</v>
      </c>
      <c r="T5" s="34">
        <f>((R5/$X$5)-1)*10^4</f>
        <v>16.125324893467852</v>
      </c>
      <c r="V5" s="120">
        <v>0.51263000000000003</v>
      </c>
      <c r="W5" s="33"/>
      <c r="X5" s="120">
        <v>0.28278500000000001</v>
      </c>
    </row>
    <row r="6" spans="1:24" s="16" customFormat="1">
      <c r="A6" s="30"/>
      <c r="B6" s="19"/>
      <c r="C6" s="19"/>
      <c r="D6" s="19"/>
      <c r="E6" s="19"/>
      <c r="F6" s="19"/>
      <c r="G6" s="19"/>
      <c r="H6" s="19"/>
      <c r="V6" s="69"/>
      <c r="X6" s="69"/>
    </row>
    <row r="7" spans="1:24" s="16" customFormat="1" ht="16" thickBot="1">
      <c r="A7" s="30"/>
      <c r="B7" s="19"/>
      <c r="C7" s="19"/>
      <c r="D7" s="19"/>
      <c r="E7" s="19"/>
      <c r="F7" s="19"/>
      <c r="H7" s="96" t="s">
        <v>45</v>
      </c>
      <c r="V7" s="83" t="s">
        <v>95</v>
      </c>
      <c r="W7" s="1"/>
      <c r="X7" s="83" t="s">
        <v>96</v>
      </c>
    </row>
    <row r="8" spans="1:24" ht="16" thickBot="1">
      <c r="B8" s="12"/>
      <c r="G8" s="19"/>
      <c r="H8" s="20" t="s">
        <v>46</v>
      </c>
      <c r="M8" s="1"/>
      <c r="V8" s="98">
        <v>0.19600000000000001</v>
      </c>
      <c r="W8" s="13"/>
      <c r="X8" s="97">
        <v>3.3599999999999998E-2</v>
      </c>
    </row>
    <row r="9" spans="1:24" ht="15">
      <c r="A9" s="17" t="s">
        <v>0</v>
      </c>
      <c r="B9" s="38">
        <f>(B5/D5)*(0.992745*207.2019/(238.0289*0.01387))</f>
        <v>12.622203107225738</v>
      </c>
      <c r="C9" s="4"/>
      <c r="G9" s="90" t="s">
        <v>2</v>
      </c>
      <c r="H9" s="22">
        <v>1.5510000000000001E-10</v>
      </c>
    </row>
    <row r="10" spans="1:24" ht="15">
      <c r="A10" s="17" t="s">
        <v>1</v>
      </c>
      <c r="B10" s="38">
        <f>B9/137.88</f>
        <v>9.1544844119710894E-2</v>
      </c>
      <c r="C10" s="4"/>
      <c r="G10" s="90" t="s">
        <v>3</v>
      </c>
      <c r="H10" s="23">
        <v>9.8486390000000005E-10</v>
      </c>
      <c r="V10" s="88" t="s">
        <v>51</v>
      </c>
      <c r="W10" s="16"/>
      <c r="X10" s="16"/>
    </row>
    <row r="11" spans="1:24" ht="15">
      <c r="A11" s="17" t="s">
        <v>6</v>
      </c>
      <c r="B11" s="38">
        <f>(C5/D5)*(1*207.2019/(0.01387*232.0381))</f>
        <v>38.018112721247327</v>
      </c>
      <c r="C11" s="4"/>
      <c r="D11" s="5"/>
      <c r="E11" s="6"/>
      <c r="G11" s="90" t="s">
        <v>4</v>
      </c>
      <c r="H11" s="23">
        <v>4.948E-11</v>
      </c>
      <c r="M11" s="66"/>
      <c r="V11" s="82" t="s">
        <v>91</v>
      </c>
      <c r="W11" s="16"/>
      <c r="X11" s="82" t="s">
        <v>92</v>
      </c>
    </row>
    <row r="12" spans="1:24" ht="15">
      <c r="A12" s="17" t="s">
        <v>7</v>
      </c>
      <c r="B12" s="38">
        <f>B11/B9</f>
        <v>3.0120029283543523</v>
      </c>
      <c r="C12" s="4"/>
      <c r="D12" s="5"/>
      <c r="E12" s="6"/>
      <c r="G12" s="91"/>
      <c r="H12" s="24"/>
      <c r="V12" s="121">
        <f>$V$5-$V$8*(EXP($H$14*$E$77*1000000)-1)</f>
        <v>0.51215521760020977</v>
      </c>
      <c r="W12" s="13"/>
      <c r="X12" s="121">
        <f>$X$5-$X$8*(EXP($H$15*$E$77*1000000)-1)</f>
        <v>0.2825520910302467</v>
      </c>
    </row>
    <row r="13" spans="1:24" ht="15">
      <c r="A13" s="17" t="s">
        <v>11</v>
      </c>
      <c r="B13" s="38">
        <f>(E5/F5)*(87.62*0.2784/(85.4678*0.0986))</f>
        <v>2.5992594777878714E-2</v>
      </c>
      <c r="C13" s="4"/>
      <c r="D13" s="5"/>
      <c r="E13" s="6"/>
      <c r="G13" s="90" t="s">
        <v>12</v>
      </c>
      <c r="H13" s="167">
        <v>1.3930000000000001E-11</v>
      </c>
      <c r="I13" s="225"/>
    </row>
    <row r="14" spans="1:24" ht="15">
      <c r="A14" s="17" t="s">
        <v>8</v>
      </c>
      <c r="B14" s="38">
        <f>(G5/H5)*(0.15*144.24/(150.36*0.238))</f>
        <v>0.22895067748396578</v>
      </c>
      <c r="C14" s="8"/>
      <c r="D14" s="5"/>
      <c r="E14" s="6"/>
      <c r="G14" s="90" t="s">
        <v>5</v>
      </c>
      <c r="H14" s="23">
        <v>6.5390000000000003E-12</v>
      </c>
      <c r="V14" s="88" t="s">
        <v>52</v>
      </c>
    </row>
    <row r="15" spans="1:24" ht="16" thickBot="1">
      <c r="A15" s="89" t="s">
        <v>9</v>
      </c>
      <c r="B15" s="38">
        <f>(J5/I5)*(0.0259*178.49/(0.18606*174.967))</f>
        <v>4.4956445331240859E-2</v>
      </c>
      <c r="C15" s="8"/>
      <c r="D15" s="5"/>
      <c r="E15" s="6"/>
      <c r="G15" s="92" t="s">
        <v>10</v>
      </c>
      <c r="H15" s="21">
        <v>1.8669999999999999E-11</v>
      </c>
      <c r="V15" s="82" t="s">
        <v>91</v>
      </c>
      <c r="X15" s="82" t="s">
        <v>92</v>
      </c>
    </row>
    <row r="16" spans="1:24">
      <c r="B16" s="7"/>
      <c r="D16" s="5"/>
      <c r="E16" s="6"/>
      <c r="V16" s="121">
        <f>$V$5-$V$8*(EXP($H$14*$E$163*1000000)-1)</f>
        <v>0.51237222018807915</v>
      </c>
      <c r="W16" s="13"/>
      <c r="X16" s="121">
        <f>$X$5-$X$8*(EXP($H$15*$E$163*1000000)-1)</f>
        <v>0.28265867340523865</v>
      </c>
    </row>
    <row r="17" spans="1:40">
      <c r="A17" s="88"/>
      <c r="B17" s="125" t="s">
        <v>86</v>
      </c>
      <c r="D17" s="5"/>
      <c r="E17" s="6"/>
      <c r="V17" s="121"/>
      <c r="W17" s="13"/>
      <c r="X17" s="121"/>
    </row>
    <row r="18" spans="1:40">
      <c r="B18" s="2">
        <v>0</v>
      </c>
      <c r="C18" s="2">
        <f t="shared" ref="C18:X18" si="0">B18+100</f>
        <v>100</v>
      </c>
      <c r="D18" s="2">
        <f t="shared" si="0"/>
        <v>200</v>
      </c>
      <c r="E18" s="2">
        <f t="shared" si="0"/>
        <v>300</v>
      </c>
      <c r="F18" s="2">
        <f t="shared" si="0"/>
        <v>400</v>
      </c>
      <c r="G18" s="2">
        <f t="shared" si="0"/>
        <v>500</v>
      </c>
      <c r="H18" s="2">
        <f t="shared" si="0"/>
        <v>600</v>
      </c>
      <c r="I18" s="2">
        <f t="shared" si="0"/>
        <v>700</v>
      </c>
      <c r="J18" s="2">
        <f t="shared" si="0"/>
        <v>800</v>
      </c>
      <c r="K18" s="2">
        <f t="shared" si="0"/>
        <v>900</v>
      </c>
      <c r="L18" s="2">
        <f t="shared" si="0"/>
        <v>1000</v>
      </c>
      <c r="M18" s="2">
        <f t="shared" si="0"/>
        <v>1100</v>
      </c>
      <c r="N18" s="2">
        <f t="shared" si="0"/>
        <v>1200</v>
      </c>
      <c r="O18" s="2">
        <f t="shared" si="0"/>
        <v>1300</v>
      </c>
      <c r="P18" s="2">
        <f t="shared" si="0"/>
        <v>1400</v>
      </c>
      <c r="Q18" s="2">
        <f t="shared" si="0"/>
        <v>1500</v>
      </c>
      <c r="R18" s="2">
        <f t="shared" si="0"/>
        <v>1600</v>
      </c>
      <c r="S18" s="16">
        <f t="shared" si="0"/>
        <v>1700</v>
      </c>
      <c r="T18" s="2">
        <f t="shared" si="0"/>
        <v>1800</v>
      </c>
      <c r="U18" s="2">
        <f t="shared" si="0"/>
        <v>1900</v>
      </c>
      <c r="V18" s="2">
        <f t="shared" si="0"/>
        <v>2000</v>
      </c>
      <c r="W18" s="2">
        <f t="shared" si="0"/>
        <v>2100</v>
      </c>
      <c r="X18" s="2">
        <f t="shared" si="0"/>
        <v>2200</v>
      </c>
    </row>
    <row r="19" spans="1:40" ht="15">
      <c r="A19" s="82" t="s">
        <v>87</v>
      </c>
      <c r="B19" s="49">
        <f>M5</f>
        <v>18</v>
      </c>
      <c r="C19" s="9">
        <f>$B$19-$B$9*(EXP($H$9*C18*10^6)-1)</f>
        <v>17.802703550966609</v>
      </c>
      <c r="D19" s="9">
        <f t="shared" ref="D19:X19" si="1">$B$19-$B$9*(EXP($H$9*D18*10^6)-1)</f>
        <v>17.602323180016377</v>
      </c>
      <c r="E19" s="9">
        <f t="shared" si="1"/>
        <v>17.398810682660908</v>
      </c>
      <c r="F19" s="9">
        <f t="shared" si="1"/>
        <v>17.192117100932045</v>
      </c>
      <c r="G19" s="9">
        <f t="shared" si="1"/>
        <v>16.982192711604327</v>
      </c>
      <c r="H19" s="9">
        <f t="shared" si="1"/>
        <v>16.768987014233314</v>
      </c>
      <c r="I19" s="9">
        <f t="shared" si="1"/>
        <v>16.552448719006946</v>
      </c>
      <c r="J19" s="9">
        <f t="shared" si="1"/>
        <v>16.332525734407021</v>
      </c>
      <c r="K19" s="9">
        <f t="shared" si="1"/>
        <v>16.1091651546778</v>
      </c>
      <c r="L19" s="9">
        <f t="shared" si="1"/>
        <v>15.882313247098736</v>
      </c>
      <c r="M19" s="9">
        <f t="shared" si="1"/>
        <v>15.651915439058275</v>
      </c>
      <c r="N19" s="9">
        <f t="shared" si="1"/>
        <v>15.417916304925583</v>
      </c>
      <c r="O19" s="9">
        <f t="shared" si="1"/>
        <v>15.180259552717104</v>
      </c>
      <c r="P19" s="9">
        <f t="shared" si="1"/>
        <v>14.938888010554665</v>
      </c>
      <c r="Q19" s="9">
        <f t="shared" si="1"/>
        <v>14.693743612911941</v>
      </c>
      <c r="R19" s="9">
        <f t="shared" si="1"/>
        <v>14.444767386645919</v>
      </c>
      <c r="S19" s="15">
        <f t="shared" si="1"/>
        <v>14.191899436810035</v>
      </c>
      <c r="T19" s="9">
        <f t="shared" si="1"/>
        <v>13.935078932245535</v>
      </c>
      <c r="U19" s="9">
        <f t="shared" si="1"/>
        <v>13.674244090947658</v>
      </c>
      <c r="V19" s="9">
        <f t="shared" si="1"/>
        <v>13.409332165203022</v>
      </c>
      <c r="W19" s="9">
        <f t="shared" si="1"/>
        <v>13.140279426494754</v>
      </c>
      <c r="X19" s="9">
        <f t="shared" si="1"/>
        <v>12.867021150171622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40" ht="15">
      <c r="A20" s="82" t="s">
        <v>88</v>
      </c>
      <c r="B20" s="49">
        <f>N5</f>
        <v>15.432</v>
      </c>
      <c r="C20" s="9">
        <f t="shared" ref="C20:X20" si="2">$B$20-$B$10*(EXP($H$10*C18*10^6)-1)</f>
        <v>15.422525164872761</v>
      </c>
      <c r="D20" s="9">
        <f t="shared" si="2"/>
        <v>15.412069690130572</v>
      </c>
      <c r="E20" s="9">
        <f t="shared" si="2"/>
        <v>15.400532080175722</v>
      </c>
      <c r="F20" s="9">
        <f t="shared" si="2"/>
        <v>15.387800334678499</v>
      </c>
      <c r="G20" s="9">
        <f t="shared" si="2"/>
        <v>15.373750861343861</v>
      </c>
      <c r="H20" s="9">
        <f t="shared" si="2"/>
        <v>15.358247276150166</v>
      </c>
      <c r="I20" s="9">
        <f t="shared" si="2"/>
        <v>15.341139079413308</v>
      </c>
      <c r="J20" s="9">
        <f t="shared" si="2"/>
        <v>15.32226019482434</v>
      </c>
      <c r="K20" s="9">
        <f t="shared" si="2"/>
        <v>15.301427357278364</v>
      </c>
      <c r="L20" s="9">
        <f t="shared" si="2"/>
        <v>15.278438333844708</v>
      </c>
      <c r="M20" s="9">
        <f t="shared" si="2"/>
        <v>15.253069960608618</v>
      </c>
      <c r="N20" s="9">
        <f t="shared" si="2"/>
        <v>15.225075976327259</v>
      </c>
      <c r="O20" s="9">
        <f t="shared" si="2"/>
        <v>15.194184631870447</v>
      </c>
      <c r="P20" s="9">
        <f t="shared" si="2"/>
        <v>15.160096052239973</v>
      </c>
      <c r="Q20" s="9">
        <f t="shared" si="2"/>
        <v>15.122479325559535</v>
      </c>
      <c r="R20" s="9">
        <f t="shared" si="2"/>
        <v>15.08096929077692</v>
      </c>
      <c r="S20" s="15">
        <f t="shared" si="2"/>
        <v>15.035162992895351</v>
      </c>
      <c r="T20" s="9">
        <f t="shared" si="2"/>
        <v>14.984615771323426</v>
      </c>
      <c r="U20" s="9">
        <f t="shared" si="2"/>
        <v>14.928836943371705</v>
      </c>
      <c r="V20" s="9">
        <f t="shared" si="2"/>
        <v>14.867285040993838</v>
      </c>
      <c r="W20" s="9">
        <f t="shared" si="2"/>
        <v>14.799362554533316</v>
      </c>
      <c r="X20" s="9">
        <f t="shared" si="2"/>
        <v>14.724410132451251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40" ht="15">
      <c r="A21" s="82" t="s">
        <v>89</v>
      </c>
      <c r="B21" s="49">
        <f>O5</f>
        <v>37.412000000000006</v>
      </c>
      <c r="C21" s="9">
        <f>$B$21-$B$11*(EXP($H$11*C18*10^6)-1)</f>
        <v>37.223420216616276</v>
      </c>
      <c r="D21" s="9">
        <f t="shared" ref="D21:X21" si="3">$B$21-$B$11*(EXP($H$11*D18*10^6)-1)</f>
        <v>37.033905028180705</v>
      </c>
      <c r="E21" s="9">
        <f t="shared" si="3"/>
        <v>36.843449794839557</v>
      </c>
      <c r="F21" s="9">
        <f t="shared" si="3"/>
        <v>36.652049853724222</v>
      </c>
      <c r="G21" s="9">
        <f t="shared" si="3"/>
        <v>36.459700518837039</v>
      </c>
      <c r="H21" s="9">
        <f t="shared" si="3"/>
        <v>36.266397080936549</v>
      </c>
      <c r="I21" s="9">
        <f t="shared" si="3"/>
        <v>36.072134807422273</v>
      </c>
      <c r="J21" s="9">
        <f t="shared" si="3"/>
        <v>35.876908942218748</v>
      </c>
      <c r="K21" s="9">
        <f t="shared" si="3"/>
        <v>35.680714705659149</v>
      </c>
      <c r="L21" s="9">
        <f t="shared" si="3"/>
        <v>35.483547294368265</v>
      </c>
      <c r="M21" s="9">
        <f t="shared" si="3"/>
        <v>35.285401881144878</v>
      </c>
      <c r="N21" s="9">
        <f t="shared" si="3"/>
        <v>35.086273614843599</v>
      </c>
      <c r="O21" s="9">
        <f t="shared" si="3"/>
        <v>34.88615762025605</v>
      </c>
      <c r="P21" s="9">
        <f t="shared" si="3"/>
        <v>34.685048997991608</v>
      </c>
      <c r="Q21" s="9">
        <f t="shared" si="3"/>
        <v>34.48294282435733</v>
      </c>
      <c r="R21" s="9">
        <f t="shared" si="3"/>
        <v>34.279834151237509</v>
      </c>
      <c r="S21" s="15">
        <f t="shared" si="3"/>
        <v>34.075718005972476</v>
      </c>
      <c r="T21" s="9">
        <f t="shared" si="3"/>
        <v>33.870589391236862</v>
      </c>
      <c r="U21" s="9">
        <f t="shared" si="3"/>
        <v>33.664443284917283</v>
      </c>
      <c r="V21" s="9">
        <f t="shared" si="3"/>
        <v>33.457274639989308</v>
      </c>
      <c r="W21" s="9">
        <f t="shared" si="3"/>
        <v>33.249078384394004</v>
      </c>
      <c r="X21" s="9">
        <f t="shared" si="3"/>
        <v>33.039849420913662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40" ht="15">
      <c r="A22" s="82" t="s">
        <v>90</v>
      </c>
      <c r="B22" s="50">
        <f>P5</f>
        <v>0.70237899999999998</v>
      </c>
      <c r="C22" s="10">
        <f>$B$22-$B$13*(EXP($H$13*C18*10^6)-1)</f>
        <v>0.70234276708510823</v>
      </c>
      <c r="D22" s="10">
        <f t="shared" ref="D22:X22" si="4">$B$22-$B$13*(EXP($H$13*D18*10^6)-1)</f>
        <v>0.70230648366259552</v>
      </c>
      <c r="E22" s="10">
        <f t="shared" si="4"/>
        <v>0.70227014966205592</v>
      </c>
      <c r="F22" s="10">
        <f t="shared" si="4"/>
        <v>0.70223376501298507</v>
      </c>
      <c r="G22" s="10">
        <f t="shared" si="4"/>
        <v>0.70219732964478032</v>
      </c>
      <c r="H22" s="10">
        <f t="shared" si="4"/>
        <v>0.70216084348674079</v>
      </c>
      <c r="I22" s="10">
        <f t="shared" si="4"/>
        <v>0.70212430646806701</v>
      </c>
      <c r="J22" s="10">
        <f t="shared" si="4"/>
        <v>0.70208771851786045</v>
      </c>
      <c r="K22" s="10">
        <f t="shared" si="4"/>
        <v>0.70205107956512436</v>
      </c>
      <c r="L22" s="10">
        <f t="shared" si="4"/>
        <v>0.70201438953876261</v>
      </c>
      <c r="M22" s="10">
        <f t="shared" si="4"/>
        <v>0.70197764836757992</v>
      </c>
      <c r="N22" s="10">
        <f t="shared" si="4"/>
        <v>0.70194085598028211</v>
      </c>
      <c r="O22" s="10">
        <f t="shared" si="4"/>
        <v>0.70190401230547539</v>
      </c>
      <c r="P22" s="10">
        <f t="shared" si="4"/>
        <v>0.70186711727166629</v>
      </c>
      <c r="Q22" s="10">
        <f t="shared" si="4"/>
        <v>0.70183017080726207</v>
      </c>
      <c r="R22" s="10">
        <f t="shared" si="4"/>
        <v>0.70179317284056997</v>
      </c>
      <c r="S22" s="10">
        <f t="shared" si="4"/>
        <v>0.7017561232997972</v>
      </c>
      <c r="T22" s="10">
        <f t="shared" si="4"/>
        <v>0.70171902211305104</v>
      </c>
      <c r="U22" s="10">
        <f t="shared" si="4"/>
        <v>0.70168186920833864</v>
      </c>
      <c r="V22" s="10">
        <f t="shared" si="4"/>
        <v>0.70164466451356644</v>
      </c>
      <c r="W22" s="10">
        <f t="shared" si="4"/>
        <v>0.70160740795654086</v>
      </c>
      <c r="X22" s="10">
        <f t="shared" si="4"/>
        <v>0.70157009946496729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40" ht="15">
      <c r="A23" s="82" t="s">
        <v>91</v>
      </c>
      <c r="B23" s="49">
        <f>Q5</f>
        <v>0.51322598363799998</v>
      </c>
      <c r="C23" s="10">
        <f t="shared" ref="C23:X23" si="5">$B$23-$B$14*(EXP($H$14*C18*10^6)-1)</f>
        <v>0.51307622383136076</v>
      </c>
      <c r="D23" s="10">
        <f t="shared" si="5"/>
        <v>0.51292636606475928</v>
      </c>
      <c r="E23" s="10">
        <f t="shared" si="5"/>
        <v>0.51277641027411891</v>
      </c>
      <c r="F23" s="10">
        <f t="shared" si="5"/>
        <v>0.51262635639532061</v>
      </c>
      <c r="G23" s="10">
        <f t="shared" si="5"/>
        <v>0.51247620436420349</v>
      </c>
      <c r="H23" s="10">
        <f t="shared" si="5"/>
        <v>0.51232595411656479</v>
      </c>
      <c r="I23" s="10">
        <f t="shared" si="5"/>
        <v>0.51217560558815989</v>
      </c>
      <c r="J23" s="10">
        <f t="shared" si="5"/>
        <v>0.51202515871470178</v>
      </c>
      <c r="K23" s="10">
        <f t="shared" si="5"/>
        <v>0.51187461343186169</v>
      </c>
      <c r="L23" s="10">
        <f t="shared" si="5"/>
        <v>0.51172396967526868</v>
      </c>
      <c r="M23" s="10">
        <f t="shared" si="5"/>
        <v>0.5115732273805097</v>
      </c>
      <c r="N23" s="10">
        <f t="shared" si="5"/>
        <v>0.51142238648312954</v>
      </c>
      <c r="O23" s="10">
        <f t="shared" si="5"/>
        <v>0.5112714469186308</v>
      </c>
      <c r="P23" s="10">
        <f t="shared" si="5"/>
        <v>0.51112040862247421</v>
      </c>
      <c r="Q23" s="10">
        <f t="shared" si="5"/>
        <v>0.51096927153007776</v>
      </c>
      <c r="R23" s="10">
        <f t="shared" si="5"/>
        <v>0.51081803557681749</v>
      </c>
      <c r="S23" s="10">
        <f t="shared" si="5"/>
        <v>0.51066670069802733</v>
      </c>
      <c r="T23" s="10">
        <f t="shared" si="5"/>
        <v>0.5105152668289985</v>
      </c>
      <c r="U23" s="10">
        <f t="shared" si="5"/>
        <v>0.51036373390498024</v>
      </c>
      <c r="V23" s="10">
        <f t="shared" si="5"/>
        <v>0.51021210186117938</v>
      </c>
      <c r="W23" s="10">
        <f t="shared" si="5"/>
        <v>0.51006037063276011</v>
      </c>
      <c r="X23" s="10">
        <f t="shared" si="5"/>
        <v>0.50990854015484455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40" ht="15">
      <c r="A24" s="82" t="s">
        <v>92</v>
      </c>
      <c r="B24" s="19">
        <f>R5</f>
        <v>0.28324099999999997</v>
      </c>
      <c r="C24" s="10">
        <f>$B$24-$B$15*(EXP($H$15*C18*10^6)-1)</f>
        <v>0.28315698791568916</v>
      </c>
      <c r="D24" s="10">
        <f t="shared" ref="D24:X24" si="6">$B$24-$B$15*(EXP($H$15*D18*10^6)-1)</f>
        <v>0.28307281883430579</v>
      </c>
      <c r="E24" s="10">
        <f t="shared" si="6"/>
        <v>0.28298849246246255</v>
      </c>
      <c r="F24" s="10">
        <f t="shared" si="6"/>
        <v>0.28290400850622377</v>
      </c>
      <c r="G24" s="10">
        <f t="shared" si="6"/>
        <v>0.28281936667110463</v>
      </c>
      <c r="H24" s="10">
        <f t="shared" si="6"/>
        <v>0.28273456666206992</v>
      </c>
      <c r="I24" s="10">
        <f t="shared" si="6"/>
        <v>0.28264960818353313</v>
      </c>
      <c r="J24" s="10">
        <f t="shared" si="6"/>
        <v>0.28256449093935526</v>
      </c>
      <c r="K24" s="10">
        <f t="shared" si="6"/>
        <v>0.28247921463284403</v>
      </c>
      <c r="L24" s="10">
        <f t="shared" si="6"/>
        <v>0.28239377896675266</v>
      </c>
      <c r="M24" s="10">
        <f t="shared" si="6"/>
        <v>0.28230818364327892</v>
      </c>
      <c r="N24" s="10">
        <f t="shared" si="6"/>
        <v>0.28222242836406403</v>
      </c>
      <c r="O24" s="10">
        <f t="shared" si="6"/>
        <v>0.2821365128301917</v>
      </c>
      <c r="P24" s="10">
        <f t="shared" si="6"/>
        <v>0.28205043674218694</v>
      </c>
      <c r="Q24" s="10">
        <f t="shared" si="6"/>
        <v>0.28196419980001525</v>
      </c>
      <c r="R24" s="10">
        <f t="shared" si="6"/>
        <v>0.28187780170308141</v>
      </c>
      <c r="S24" s="10">
        <f t="shared" si="6"/>
        <v>0.28179124215022833</v>
      </c>
      <c r="T24" s="10">
        <f t="shared" si="6"/>
        <v>0.28170452083973635</v>
      </c>
      <c r="U24" s="10">
        <f t="shared" si="6"/>
        <v>0.28161763746932178</v>
      </c>
      <c r="V24" s="10">
        <f t="shared" si="6"/>
        <v>0.28153059173613615</v>
      </c>
      <c r="W24" s="10">
        <f t="shared" si="6"/>
        <v>0.28144338333676505</v>
      </c>
      <c r="X24" s="10">
        <f t="shared" si="6"/>
        <v>0.28135601196722704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25"/>
    </row>
    <row r="25" spans="1:40" s="9" customFormat="1" ht="18">
      <c r="A25" s="162" t="s">
        <v>93</v>
      </c>
      <c r="B25" s="35">
        <f>((B23/0.512638)-1)*10000</f>
        <v>11.469763029661184</v>
      </c>
      <c r="C25" s="35">
        <f t="shared" ref="C25:X25" si="7">((C23/0.512638)-1)*10000</f>
        <v>8.5484070896169051</v>
      </c>
      <c r="D25" s="35">
        <f t="shared" si="7"/>
        <v>5.6251402502205394</v>
      </c>
      <c r="E25" s="35">
        <f t="shared" si="7"/>
        <v>2.6999612615319357</v>
      </c>
      <c r="F25" s="35">
        <f t="shared" si="7"/>
        <v>-0.22713112721728379</v>
      </c>
      <c r="G25" s="35">
        <f t="shared" si="7"/>
        <v>-3.1561381676059597</v>
      </c>
      <c r="H25" s="35">
        <f t="shared" si="7"/>
        <v>-6.087061112036718</v>
      </c>
      <c r="I25" s="35">
        <f t="shared" si="7"/>
        <v>-9.019901213724868</v>
      </c>
      <c r="J25" s="35">
        <f t="shared" si="7"/>
        <v>-11.954659726712835</v>
      </c>
      <c r="K25" s="35">
        <f t="shared" si="7"/>
        <v>-14.891337905857949</v>
      </c>
      <c r="L25" s="35">
        <f t="shared" si="7"/>
        <v>-17.829937006842435</v>
      </c>
      <c r="M25" s="35">
        <f t="shared" si="7"/>
        <v>-20.770458286165638</v>
      </c>
      <c r="N25" s="35">
        <f t="shared" si="7"/>
        <v>-23.712903001152917</v>
      </c>
      <c r="O25" s="35">
        <f t="shared" si="7"/>
        <v>-26.657272409951194</v>
      </c>
      <c r="P25" s="35">
        <f t="shared" si="7"/>
        <v>-29.603567771523398</v>
      </c>
      <c r="Q25" s="35">
        <f t="shared" si="7"/>
        <v>-32.551790345668465</v>
      </c>
      <c r="R25" s="35">
        <f t="shared" si="7"/>
        <v>-35.501941393001331</v>
      </c>
      <c r="S25" s="35">
        <f t="shared" si="7"/>
        <v>-38.454022174959633</v>
      </c>
      <c r="T25" s="35">
        <f t="shared" si="7"/>
        <v>-41.40803395381365</v>
      </c>
      <c r="U25" s="35">
        <f t="shared" si="7"/>
        <v>-44.363977992654128</v>
      </c>
      <c r="V25" s="35">
        <f t="shared" si="7"/>
        <v>-47.321855555394478</v>
      </c>
      <c r="W25" s="35">
        <f t="shared" si="7"/>
        <v>-50.281667906786339</v>
      </c>
      <c r="X25" s="35">
        <f t="shared" si="7"/>
        <v>-53.243416312397372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6"/>
    </row>
    <row r="26" spans="1:40" s="9" customFormat="1" ht="18">
      <c r="A26" s="162" t="s">
        <v>94</v>
      </c>
      <c r="B26" s="35">
        <f>((B24/0.282772)-1)*10^4</f>
        <v>16.58580057431136</v>
      </c>
      <c r="C26" s="35">
        <f t="shared" ref="C26:X26" si="8">((C24/0.282772)-1)*10^4</f>
        <v>13.614782074926612</v>
      </c>
      <c r="D26" s="35">
        <f t="shared" si="8"/>
        <v>10.638211502758121</v>
      </c>
      <c r="E26" s="35">
        <f t="shared" si="8"/>
        <v>7.6560784824009076</v>
      </c>
      <c r="F26" s="35">
        <f t="shared" si="8"/>
        <v>4.6683726190632768</v>
      </c>
      <c r="G26" s="35">
        <f t="shared" si="8"/>
        <v>1.675083498529073</v>
      </c>
      <c r="H26" s="35">
        <f t="shared" si="8"/>
        <v>-1.3237993128778491</v>
      </c>
      <c r="I26" s="35">
        <f t="shared" si="8"/>
        <v>-4.3282862683324819</v>
      </c>
      <c r="J26" s="35">
        <f t="shared" si="8"/>
        <v>-7.3383878405486325</v>
      </c>
      <c r="K26" s="35">
        <f t="shared" si="8"/>
        <v>-10.354114521805569</v>
      </c>
      <c r="L26" s="35">
        <f t="shared" si="8"/>
        <v>-13.375476823991317</v>
      </c>
      <c r="M26" s="35">
        <f t="shared" si="8"/>
        <v>-16.402485278638189</v>
      </c>
      <c r="N26" s="35">
        <f t="shared" si="8"/>
        <v>-19.435150436959425</v>
      </c>
      <c r="O26" s="35">
        <f t="shared" si="8"/>
        <v>-22.473482869885821</v>
      </c>
      <c r="P26" s="35">
        <f t="shared" si="8"/>
        <v>-25.517493168103478</v>
      </c>
      <c r="Q26" s="35">
        <f t="shared" si="8"/>
        <v>-28.567191942087121</v>
      </c>
      <c r="R26" s="35">
        <f t="shared" si="8"/>
        <v>-31.622589822140057</v>
      </c>
      <c r="S26" s="35">
        <f t="shared" si="8"/>
        <v>-34.683697458436356</v>
      </c>
      <c r="T26" s="35">
        <f t="shared" si="8"/>
        <v>-37.750525521044189</v>
      </c>
      <c r="U26" s="35">
        <f t="shared" si="8"/>
        <v>-40.823084699979084</v>
      </c>
      <c r="V26" s="35">
        <f t="shared" si="8"/>
        <v>-43.901385705228392</v>
      </c>
      <c r="W26" s="35">
        <f t="shared" si="8"/>
        <v>-46.985439266793435</v>
      </c>
      <c r="X26" s="35">
        <f t="shared" si="8"/>
        <v>-50.075256134729514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</row>
    <row r="27" spans="1:40" ht="14" thickBot="1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spans="1:40">
      <c r="A28" s="11" t="s">
        <v>99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30" spans="1:40">
      <c r="B30" s="11" t="s">
        <v>75</v>
      </c>
      <c r="M30" s="11" t="s">
        <v>101</v>
      </c>
    </row>
    <row r="31" spans="1:40" ht="19" thickBot="1">
      <c r="B31" s="12" t="s">
        <v>23</v>
      </c>
      <c r="C31" s="12" t="s">
        <v>22</v>
      </c>
      <c r="D31" s="12" t="s">
        <v>21</v>
      </c>
      <c r="E31" s="12" t="s">
        <v>15</v>
      </c>
      <c r="F31" s="12" t="s">
        <v>16</v>
      </c>
      <c r="G31" s="12" t="s">
        <v>19</v>
      </c>
      <c r="H31" s="12" t="s">
        <v>18</v>
      </c>
      <c r="I31" s="12" t="s">
        <v>17</v>
      </c>
      <c r="J31" s="12" t="s">
        <v>20</v>
      </c>
      <c r="M31" s="82" t="s">
        <v>87</v>
      </c>
      <c r="N31" s="82" t="s">
        <v>88</v>
      </c>
      <c r="O31" s="82" t="s">
        <v>89</v>
      </c>
      <c r="P31" s="82" t="s">
        <v>90</v>
      </c>
      <c r="Q31" s="82" t="s">
        <v>91</v>
      </c>
      <c r="R31" s="82" t="s">
        <v>92</v>
      </c>
      <c r="S31" s="162" t="s">
        <v>93</v>
      </c>
      <c r="T31" s="162" t="s">
        <v>94</v>
      </c>
    </row>
    <row r="32" spans="1:40" ht="14" thickBot="1">
      <c r="B32" s="31">
        <v>1.68</v>
      </c>
      <c r="C32" s="32">
        <v>6.91</v>
      </c>
      <c r="D32" s="32">
        <v>19.899999999999999</v>
      </c>
      <c r="E32" s="32">
        <v>57.2</v>
      </c>
      <c r="F32" s="32">
        <v>327</v>
      </c>
      <c r="G32" s="32">
        <v>5.78</v>
      </c>
      <c r="H32" s="32">
        <v>27</v>
      </c>
      <c r="I32" s="32">
        <v>4.0599999999999996</v>
      </c>
      <c r="J32" s="64">
        <v>0.41299999999999998</v>
      </c>
      <c r="K32" s="16"/>
      <c r="M32" s="62">
        <v>18.913</v>
      </c>
      <c r="N32" s="63">
        <v>15.673</v>
      </c>
      <c r="O32" s="63">
        <v>38.899000000000001</v>
      </c>
      <c r="P32" s="117">
        <v>0.71730000000000005</v>
      </c>
      <c r="Q32" s="117">
        <v>0.51217999999999997</v>
      </c>
      <c r="R32" s="118">
        <v>0.28239999999999998</v>
      </c>
      <c r="S32" s="7">
        <f>((Q32/$V$5)-1)*10000</f>
        <v>-8.7782611240083686</v>
      </c>
      <c r="T32" s="7">
        <f>((R32/$X$5)-1)*10^4</f>
        <v>-13.614583517513879</v>
      </c>
    </row>
    <row r="33" spans="1:40" ht="14" thickBot="1">
      <c r="B33" s="158" t="s">
        <v>76</v>
      </c>
      <c r="C33" s="39"/>
      <c r="D33" s="39"/>
      <c r="E33" s="39"/>
      <c r="F33" s="39"/>
      <c r="G33" s="39"/>
      <c r="H33" s="39"/>
      <c r="I33" s="39"/>
      <c r="J33" s="39"/>
      <c r="M33" s="39"/>
      <c r="N33" s="39"/>
      <c r="O33" s="39"/>
      <c r="P33" s="39"/>
      <c r="Q33" s="39"/>
      <c r="R33" s="39"/>
    </row>
    <row r="34" spans="1:40" s="16" customFormat="1" ht="14" thickBot="1">
      <c r="A34" s="30"/>
      <c r="B34" s="62">
        <v>1</v>
      </c>
      <c r="C34" s="63">
        <v>1.17</v>
      </c>
      <c r="D34" s="63">
        <v>1.0349999999999999</v>
      </c>
      <c r="E34" s="63">
        <v>1.135</v>
      </c>
      <c r="F34" s="63">
        <v>0.59</v>
      </c>
      <c r="G34" s="63">
        <v>2.8849999999999998</v>
      </c>
      <c r="H34" s="63">
        <v>2.97</v>
      </c>
      <c r="I34" s="63">
        <v>2.355</v>
      </c>
      <c r="J34" s="64">
        <v>5.5</v>
      </c>
      <c r="M34" s="39"/>
      <c r="N34" s="39"/>
      <c r="O34" s="39"/>
      <c r="P34" s="39"/>
      <c r="Q34" s="39"/>
      <c r="R34" s="39"/>
    </row>
    <row r="35" spans="1:40" s="16" customFormat="1" ht="14" thickBot="1">
      <c r="A35" s="30"/>
      <c r="B35" s="158" t="s">
        <v>77</v>
      </c>
      <c r="C35" s="39"/>
      <c r="D35" s="39"/>
      <c r="E35" s="39"/>
      <c r="F35" s="39"/>
      <c r="G35" s="39"/>
      <c r="H35" s="39"/>
      <c r="I35" s="39"/>
      <c r="J35" s="39"/>
      <c r="M35" s="39"/>
      <c r="N35" s="39"/>
      <c r="O35" s="39"/>
      <c r="P35" s="39"/>
      <c r="Q35" s="39"/>
      <c r="R35" s="39"/>
    </row>
    <row r="36" spans="1:40" s="16" customFormat="1" ht="14" thickBot="1">
      <c r="A36" s="30"/>
      <c r="B36" s="62">
        <v>3.06</v>
      </c>
      <c r="C36" s="63">
        <v>4.47</v>
      </c>
      <c r="D36" s="63">
        <v>0.78500000000000003</v>
      </c>
      <c r="E36" s="63">
        <v>1.66</v>
      </c>
      <c r="F36" s="63">
        <v>0.72</v>
      </c>
      <c r="G36" s="63">
        <v>2.0099999999999998</v>
      </c>
      <c r="H36" s="63">
        <v>2.35</v>
      </c>
      <c r="I36" s="63">
        <v>2.1150000000000002</v>
      </c>
      <c r="J36" s="64">
        <v>2.4500000000000002</v>
      </c>
      <c r="M36" s="39"/>
      <c r="N36" s="39"/>
      <c r="O36" s="39"/>
      <c r="P36" s="39"/>
      <c r="Q36" s="39"/>
      <c r="R36" s="39"/>
    </row>
    <row r="37" spans="1:40" s="19" customFormat="1">
      <c r="A37" s="6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P37" s="39"/>
      <c r="Q37" s="39"/>
      <c r="R37" s="39"/>
      <c r="S37" s="39"/>
      <c r="T37" s="39"/>
      <c r="U37" s="39"/>
    </row>
    <row r="38" spans="1:40" s="19" customFormat="1">
      <c r="A38" s="65"/>
      <c r="B38" s="124" t="s">
        <v>55</v>
      </c>
      <c r="C38" s="38">
        <f>F_fluid</f>
        <v>0.02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P38" s="39"/>
      <c r="Q38" s="39"/>
      <c r="R38" s="39"/>
      <c r="S38" s="39"/>
      <c r="T38" s="39"/>
      <c r="U38" s="39"/>
    </row>
    <row r="39" spans="1:40" s="16" customFormat="1">
      <c r="A39" s="30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P39" s="39"/>
      <c r="Q39" s="39"/>
      <c r="R39" s="39"/>
      <c r="S39" s="39"/>
      <c r="T39" s="39"/>
      <c r="U39" s="39"/>
    </row>
    <row r="40" spans="1:40" s="16" customFormat="1">
      <c r="A40" s="30"/>
      <c r="B40" s="158" t="s">
        <v>48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P40" s="39"/>
      <c r="Q40" s="39"/>
      <c r="R40" s="39"/>
      <c r="S40" s="39"/>
      <c r="T40" s="39"/>
      <c r="U40" s="39"/>
    </row>
    <row r="41" spans="1:40" s="16" customFormat="1">
      <c r="B41" s="37">
        <f>B32/($C$38+(1-$C$38)*B34)</f>
        <v>1.68</v>
      </c>
      <c r="C41" s="37">
        <f>C32/($C$38+(1-$C$38)*C34)</f>
        <v>5.9231956111777828</v>
      </c>
      <c r="D41" s="37">
        <f>D32/($C$38+(1-$C$38)*D34)</f>
        <v>19.240065744948271</v>
      </c>
      <c r="E41" s="37">
        <f t="shared" ref="E41:J41" si="9">E32/($C$38+(1-$C$38)*E34)</f>
        <v>50.5166475315729</v>
      </c>
      <c r="F41" s="37">
        <f t="shared" si="9"/>
        <v>546.63991975927786</v>
      </c>
      <c r="G41" s="37">
        <f t="shared" si="9"/>
        <v>2.0299933270115549</v>
      </c>
      <c r="H41" s="37">
        <f t="shared" si="9"/>
        <v>9.2131304169794586</v>
      </c>
      <c r="I41" s="37">
        <f t="shared" si="9"/>
        <v>1.7440611710125002</v>
      </c>
      <c r="J41" s="37">
        <f t="shared" si="9"/>
        <v>7.6340110905730132E-2</v>
      </c>
      <c r="K41" s="37"/>
      <c r="L41" s="37"/>
      <c r="M41" s="37"/>
      <c r="P41" s="39"/>
      <c r="Q41" s="39"/>
      <c r="R41" s="39"/>
      <c r="S41" s="39"/>
      <c r="T41" s="39"/>
      <c r="U41" s="39"/>
    </row>
    <row r="42" spans="1:40" s="16" customFormat="1">
      <c r="B42" s="158" t="s">
        <v>49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P42" s="39"/>
      <c r="Q42" s="39"/>
      <c r="R42" s="39"/>
      <c r="S42" s="39"/>
      <c r="T42" s="39"/>
      <c r="U42" s="39"/>
    </row>
    <row r="43" spans="1:40" s="16" customFormat="1">
      <c r="B43" s="37">
        <f>B32/($C$38+(1-$C$38)*B36)</f>
        <v>0.55651252153173436</v>
      </c>
      <c r="C43" s="37">
        <f>C32/($C$38+(1-$C$38)*C36)</f>
        <v>1.5702404217606694</v>
      </c>
      <c r="D43" s="37">
        <f t="shared" ref="D43:J43" si="10">D32/($C$38+(1-$C$38)*D36)</f>
        <v>25.212213353604458</v>
      </c>
      <c r="E43" s="37">
        <f t="shared" si="10"/>
        <v>34.734029633228083</v>
      </c>
      <c r="F43" s="37">
        <f t="shared" si="10"/>
        <v>450.66152149944872</v>
      </c>
      <c r="G43" s="37">
        <f t="shared" si="10"/>
        <v>2.9048145542265558</v>
      </c>
      <c r="H43" s="37">
        <f t="shared" si="10"/>
        <v>11.62290142057684</v>
      </c>
      <c r="I43" s="37">
        <f t="shared" si="10"/>
        <v>1.9400774119558462</v>
      </c>
      <c r="J43" s="37">
        <f t="shared" si="10"/>
        <v>0.1705906650144568</v>
      </c>
      <c r="K43" s="37"/>
      <c r="L43" s="37"/>
      <c r="M43" s="37"/>
      <c r="P43" s="37"/>
      <c r="Q43" s="39"/>
      <c r="R43" s="39"/>
      <c r="S43" s="39"/>
      <c r="T43" s="39"/>
      <c r="U43" s="39"/>
    </row>
    <row r="44" spans="1:40" s="16" customFormat="1" ht="14" thickBo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2"/>
      <c r="M44" s="41"/>
      <c r="N44" s="41"/>
      <c r="O44" s="41"/>
      <c r="P44" s="41"/>
      <c r="Q44" s="41"/>
      <c r="R44" s="41"/>
      <c r="S44" s="42"/>
      <c r="T44" s="42"/>
      <c r="U44" s="42"/>
      <c r="V44" s="42"/>
      <c r="W44" s="42"/>
      <c r="X44" s="42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s="16" customFormat="1">
      <c r="A45" s="11" t="s">
        <v>100</v>
      </c>
      <c r="B45" s="39"/>
      <c r="C45" s="39"/>
      <c r="D45" s="39"/>
      <c r="E45" s="39"/>
      <c r="F45" s="39"/>
      <c r="G45" s="39"/>
      <c r="H45" s="39"/>
      <c r="I45" s="39"/>
      <c r="J45" s="39"/>
      <c r="M45" s="39"/>
      <c r="N45" s="39"/>
      <c r="O45" s="39"/>
      <c r="P45" s="39"/>
      <c r="Q45" s="39"/>
      <c r="R45" s="3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s="16" customFormat="1">
      <c r="A46" s="11"/>
      <c r="B46" s="39"/>
      <c r="C46" s="39"/>
      <c r="D46" s="39"/>
      <c r="E46" s="39"/>
      <c r="F46" s="39"/>
      <c r="G46" s="39"/>
      <c r="H46" s="39"/>
      <c r="I46" s="39"/>
      <c r="J46" s="39"/>
      <c r="M46" s="39"/>
      <c r="N46" s="39"/>
      <c r="O46" s="39"/>
      <c r="P46" s="39"/>
      <c r="Q46" s="39"/>
      <c r="R46" s="3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s="16" customFormat="1">
      <c r="A47" s="30"/>
      <c r="B47" s="43" t="s">
        <v>78</v>
      </c>
      <c r="C47" s="39"/>
      <c r="D47" s="39"/>
      <c r="E47" s="39"/>
      <c r="F47" s="39"/>
      <c r="G47" s="39"/>
      <c r="H47" s="39"/>
      <c r="I47" s="39"/>
      <c r="J47" s="39"/>
      <c r="M47" s="43" t="s">
        <v>80</v>
      </c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s="16" customFormat="1" ht="19" thickBot="1">
      <c r="A48" s="30"/>
      <c r="B48" s="12" t="s">
        <v>23</v>
      </c>
      <c r="C48" s="12" t="s">
        <v>22</v>
      </c>
      <c r="D48" s="12" t="s">
        <v>21</v>
      </c>
      <c r="E48" s="12" t="s">
        <v>15</v>
      </c>
      <c r="F48" s="12" t="s">
        <v>16</v>
      </c>
      <c r="G48" s="12" t="s">
        <v>19</v>
      </c>
      <c r="H48" s="12" t="s">
        <v>18</v>
      </c>
      <c r="I48" s="12" t="s">
        <v>17</v>
      </c>
      <c r="J48" s="12" t="s">
        <v>20</v>
      </c>
      <c r="M48" s="82" t="s">
        <v>87</v>
      </c>
      <c r="N48" s="82" t="s">
        <v>88</v>
      </c>
      <c r="O48" s="82" t="s">
        <v>89</v>
      </c>
      <c r="P48" s="82" t="s">
        <v>90</v>
      </c>
      <c r="Q48" s="82" t="s">
        <v>91</v>
      </c>
      <c r="R48" s="82" t="s">
        <v>92</v>
      </c>
      <c r="S48" s="162" t="s">
        <v>93</v>
      </c>
      <c r="T48" s="162" t="s">
        <v>94</v>
      </c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s="16" customFormat="1" ht="14" thickBot="1">
      <c r="A49" s="159"/>
      <c r="B49" s="59">
        <v>0.27500000000000002</v>
      </c>
      <c r="C49" s="60">
        <v>8.8000000000000005E-3</v>
      </c>
      <c r="D49" s="60">
        <v>0.7</v>
      </c>
      <c r="E49" s="60">
        <v>13</v>
      </c>
      <c r="F49" s="60">
        <v>180</v>
      </c>
      <c r="G49" s="60">
        <v>2.56</v>
      </c>
      <c r="H49" s="60">
        <v>6.68</v>
      </c>
      <c r="I49" s="60">
        <v>1.92</v>
      </c>
      <c r="J49" s="61">
        <v>0.44</v>
      </c>
      <c r="L49" s="44"/>
      <c r="M49" s="161">
        <v>18.350000000000001</v>
      </c>
      <c r="N49" s="154">
        <v>15.48</v>
      </c>
      <c r="O49" s="154">
        <v>37.799999999999997</v>
      </c>
      <c r="P49" s="156">
        <v>0.70457499999999995</v>
      </c>
      <c r="Q49" s="156">
        <v>0.51307700000000001</v>
      </c>
      <c r="R49" s="157">
        <v>0.28320000000000001</v>
      </c>
      <c r="S49" s="37">
        <f>((Q49/$V$5)-1)*10000</f>
        <v>8.7197393831806025</v>
      </c>
      <c r="T49" s="7">
        <f>((R49/$X$5)-1)*10^4</f>
        <v>14.675460155242348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s="16" customFormat="1">
      <c r="A50" s="30"/>
      <c r="B50" s="38"/>
      <c r="C50" s="38"/>
      <c r="D50" s="38"/>
      <c r="E50" s="38"/>
      <c r="F50" s="38"/>
      <c r="G50" s="38"/>
      <c r="H50" s="38"/>
      <c r="I50" s="38"/>
      <c r="J50" s="38"/>
      <c r="L50" s="39"/>
      <c r="M50" s="38"/>
      <c r="N50" s="38"/>
      <c r="O50" s="38"/>
      <c r="P50" s="38"/>
      <c r="Q50" s="38"/>
      <c r="R50" s="38"/>
      <c r="S50" s="38"/>
      <c r="T50" s="38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s="16" customFormat="1">
      <c r="A51" s="30"/>
      <c r="B51" s="124" t="s">
        <v>56</v>
      </c>
      <c r="C51" s="38">
        <f>F_fluid_AOC</f>
        <v>0.02</v>
      </c>
      <c r="D51" s="38"/>
      <c r="E51" s="38"/>
      <c r="F51" s="38"/>
      <c r="G51" s="38"/>
      <c r="H51" s="38"/>
      <c r="I51" s="38"/>
      <c r="J51" s="38"/>
      <c r="L51" s="39"/>
      <c r="M51" s="67"/>
      <c r="N51" s="38"/>
      <c r="O51" s="38"/>
      <c r="P51" s="38"/>
      <c r="Q51" s="38"/>
      <c r="R51" s="38"/>
      <c r="S51" s="38"/>
      <c r="T51" s="38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s="16" customFormat="1">
      <c r="A52" s="30"/>
      <c r="B52" s="38"/>
      <c r="C52" s="38"/>
      <c r="D52" s="38"/>
      <c r="E52" s="38"/>
      <c r="F52" s="38"/>
      <c r="G52" s="38"/>
      <c r="H52" s="38"/>
      <c r="I52" s="38"/>
      <c r="J52" s="38"/>
      <c r="L52" s="39"/>
      <c r="M52" s="38"/>
      <c r="N52" s="38"/>
      <c r="O52" s="38"/>
      <c r="P52" s="38"/>
      <c r="Q52" s="38"/>
      <c r="R52" s="38"/>
      <c r="S52" s="38"/>
      <c r="T52" s="38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s="16" customFormat="1" ht="14" thickBot="1">
      <c r="A53" s="30"/>
      <c r="B53" s="158" t="s">
        <v>79</v>
      </c>
      <c r="C53" s="39"/>
      <c r="D53" s="39"/>
      <c r="E53" s="39"/>
      <c r="F53" s="39"/>
      <c r="G53" s="39"/>
      <c r="H53" s="39"/>
      <c r="I53" s="39"/>
      <c r="J53" s="3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s="16" customFormat="1" ht="14" thickBot="1">
      <c r="A54" s="30"/>
      <c r="B54" s="62">
        <v>0.29099999999999998</v>
      </c>
      <c r="C54" s="63">
        <v>0.377</v>
      </c>
      <c r="D54" s="63">
        <v>0.84599999999999997</v>
      </c>
      <c r="E54" s="63">
        <v>0.63</v>
      </c>
      <c r="F54" s="63">
        <v>0.40799999999999997</v>
      </c>
      <c r="G54" s="63">
        <v>0.13600000000000001</v>
      </c>
      <c r="H54" s="63">
        <v>0.309</v>
      </c>
      <c r="I54" s="63">
        <v>7.0000000000000001E-3</v>
      </c>
      <c r="J54" s="64">
        <v>1.1599999999999999E-2</v>
      </c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s="16" customFormat="1">
      <c r="A55" s="30"/>
      <c r="J55" s="39"/>
      <c r="K55" s="3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s="16" customFormat="1">
      <c r="A56" s="30"/>
      <c r="B56" s="160" t="s">
        <v>50</v>
      </c>
      <c r="J56" s="39"/>
      <c r="K56" s="39"/>
      <c r="L56" s="39"/>
      <c r="P56" s="39"/>
      <c r="Q56" s="39"/>
      <c r="R56" s="39"/>
      <c r="S56" s="39"/>
      <c r="T56" s="39"/>
      <c r="U56" s="3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s="16" customFormat="1">
      <c r="A57" s="30"/>
      <c r="B57" s="122">
        <f>(B49*(1-(1-$C$51)*(1-B54)))/$C$51</f>
        <v>4.1962249999999983</v>
      </c>
      <c r="C57" s="122">
        <f t="shared" ref="C57:I57" si="11">(C49*(1-(1-$C$51)*(1-C54)))/$C$51</f>
        <v>0.17136240000000003</v>
      </c>
      <c r="D57" s="122">
        <f t="shared" si="11"/>
        <v>29.717799999999993</v>
      </c>
      <c r="E57" s="122">
        <f t="shared" si="11"/>
        <v>414.30999999999995</v>
      </c>
      <c r="F57" s="122">
        <f t="shared" si="11"/>
        <v>3778.5599999999986</v>
      </c>
      <c r="G57" s="122">
        <f t="shared" si="11"/>
        <v>19.619839999999996</v>
      </c>
      <c r="H57" s="122">
        <f t="shared" si="11"/>
        <v>107.82187999999999</v>
      </c>
      <c r="I57" s="122">
        <f t="shared" si="11"/>
        <v>2.5785599999999995</v>
      </c>
      <c r="J57" s="122">
        <f>(J49*(1-(1-$C$51)*(1-J54)))/$C$51</f>
        <v>0.69009600000000137</v>
      </c>
      <c r="P57" s="39"/>
      <c r="Q57" s="39"/>
      <c r="R57" s="39"/>
      <c r="S57" s="39"/>
      <c r="T57" s="39"/>
      <c r="U57" s="3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s="16" customFormat="1" ht="14" thickBot="1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2"/>
      <c r="M58" s="41"/>
      <c r="N58" s="41"/>
      <c r="O58" s="41"/>
      <c r="P58" s="41"/>
      <c r="Q58" s="41"/>
      <c r="R58" s="41"/>
      <c r="S58" s="42"/>
      <c r="T58" s="42"/>
      <c r="U58" s="42"/>
      <c r="V58" s="42"/>
      <c r="W58" s="42"/>
      <c r="X58" s="42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>
      <c r="A59" s="11" t="s">
        <v>106</v>
      </c>
    </row>
    <row r="60" spans="1:40">
      <c r="A60" s="11"/>
      <c r="I60" s="11" t="s">
        <v>81</v>
      </c>
    </row>
    <row r="61" spans="1:40" ht="18">
      <c r="A61" s="11"/>
      <c r="C61" s="104" t="s">
        <v>53</v>
      </c>
      <c r="D61" s="39">
        <f>AOC_fraction</f>
        <v>1</v>
      </c>
      <c r="I61" s="82" t="s">
        <v>87</v>
      </c>
      <c r="J61" s="82" t="s">
        <v>88</v>
      </c>
      <c r="K61" s="82" t="s">
        <v>89</v>
      </c>
      <c r="L61" s="82" t="s">
        <v>90</v>
      </c>
      <c r="M61" s="82" t="s">
        <v>91</v>
      </c>
      <c r="N61" s="82" t="s">
        <v>92</v>
      </c>
      <c r="O61" s="162" t="s">
        <v>93</v>
      </c>
      <c r="P61" s="162" t="s">
        <v>94</v>
      </c>
      <c r="S61" s="66"/>
    </row>
    <row r="62" spans="1:40">
      <c r="A62" s="11"/>
      <c r="C62" s="104" t="s">
        <v>54</v>
      </c>
      <c r="D62" s="39">
        <f>1-D61</f>
        <v>0</v>
      </c>
      <c r="H62" s="104" t="s">
        <v>82</v>
      </c>
      <c r="I62" s="7">
        <f>M$49*$D$61*(D$67/D$69)+M$32*$D$62*(D$68/D$69)</f>
        <v>18.350000000000001</v>
      </c>
      <c r="J62" s="7">
        <f>N$49*$D$61*(D$67/D$69)+N$32*$D$62*(D$68/D$69)</f>
        <v>15.48</v>
      </c>
      <c r="K62" s="7">
        <f>O$49*$D$61*(D$67/D$69)+O$32*$D$62*(D$68/D$69)</f>
        <v>37.799999999999997</v>
      </c>
      <c r="L62" s="54">
        <f>P$49*$D$61*(F$67/F$69)+P$32*$D$62*(F$68/F$69)</f>
        <v>0.70457499999999995</v>
      </c>
      <c r="M62" s="54">
        <f>Q$49*$D$61*(H$67/H$69)+Q$32*$D$62*(H$68/H$69)</f>
        <v>0.51307700000000001</v>
      </c>
      <c r="N62" s="54">
        <f>R$49*$D$61*(I$67/I$69)+R$32*$D$62*(I$68/I$69)</f>
        <v>0.28320000000000001</v>
      </c>
      <c r="O62" s="53">
        <f>((M62/$V$5)-1)*10000</f>
        <v>8.7197393831806025</v>
      </c>
      <c r="P62" s="53">
        <f>((N62/$X$5)-1)*10000</f>
        <v>14.675460155242348</v>
      </c>
    </row>
    <row r="63" spans="1:40">
      <c r="A63" s="2"/>
      <c r="H63" s="104" t="s">
        <v>83</v>
      </c>
      <c r="I63" s="7">
        <f>M$49*$D$61*(D$71/D$73)+M$32*$D$62*(D$72/D$73)</f>
        <v>18.350000000000001</v>
      </c>
      <c r="J63" s="7">
        <f>N$49*$D$61*(D$71/D$73)+N$32*$D$62*(D$72/D$73)</f>
        <v>15.48</v>
      </c>
      <c r="K63" s="7">
        <f>O$49*$D$61*(D$71/D$73)+O$32*$D$62*(D$72/D$73)</f>
        <v>37.799999999999997</v>
      </c>
      <c r="L63" s="54">
        <f>P$49*$D$61*(F$71/F$73)+P$32*$D$62*(F$72/F$73)</f>
        <v>0.70457499999999995</v>
      </c>
      <c r="M63" s="54">
        <f>Q$49*$D$61*(F$71/F$73)+Q$32*$D$62*(F$72/F$73)</f>
        <v>0.51307700000000001</v>
      </c>
      <c r="N63" s="54">
        <f>R$49*$D$61*(I$71/I$73)+R$32*$D$62*(I$72/I$73)</f>
        <v>0.28320000000000001</v>
      </c>
      <c r="O63" s="53">
        <f>((M63/$V$5)-1)*10000</f>
        <v>8.7197393831806025</v>
      </c>
      <c r="P63" s="53">
        <f>((N63/$X$5)-1)*10000</f>
        <v>14.675460155242348</v>
      </c>
    </row>
    <row r="64" spans="1:40">
      <c r="A64" s="2"/>
      <c r="H64" s="12"/>
      <c r="I64" s="3"/>
      <c r="J64" s="3"/>
      <c r="K64" s="3"/>
      <c r="L64" s="52"/>
      <c r="M64" s="52"/>
      <c r="N64" s="52"/>
      <c r="O64" s="53"/>
      <c r="P64" s="53"/>
    </row>
    <row r="65" spans="1:40">
      <c r="A65" s="2"/>
      <c r="B65" s="88" t="s">
        <v>102</v>
      </c>
      <c r="H65" s="12"/>
      <c r="I65" s="3"/>
      <c r="J65" s="3"/>
      <c r="K65" s="164" t="s">
        <v>104</v>
      </c>
      <c r="L65" s="52"/>
      <c r="M65" s="52"/>
      <c r="N65" s="52"/>
      <c r="O65" s="53"/>
      <c r="P65" s="53"/>
    </row>
    <row r="66" spans="1:40" ht="15">
      <c r="A66" s="2"/>
      <c r="B66" s="12" t="s">
        <v>23</v>
      </c>
      <c r="C66" s="12" t="s">
        <v>22</v>
      </c>
      <c r="D66" s="12" t="s">
        <v>21</v>
      </c>
      <c r="E66" s="12" t="s">
        <v>15</v>
      </c>
      <c r="F66" s="12" t="s">
        <v>16</v>
      </c>
      <c r="G66" s="12" t="s">
        <v>19</v>
      </c>
      <c r="H66" s="12" t="s">
        <v>18</v>
      </c>
      <c r="I66" s="12" t="s">
        <v>17</v>
      </c>
      <c r="J66" s="12" t="s">
        <v>20</v>
      </c>
      <c r="K66" s="163" t="s">
        <v>0</v>
      </c>
      <c r="L66" s="163" t="s">
        <v>1</v>
      </c>
      <c r="M66" s="163" t="s">
        <v>6</v>
      </c>
      <c r="N66" s="163" t="s">
        <v>7</v>
      </c>
      <c r="O66" s="163" t="s">
        <v>11</v>
      </c>
      <c r="P66" s="163" t="s">
        <v>8</v>
      </c>
      <c r="Q66" s="18" t="s">
        <v>9</v>
      </c>
      <c r="R66" s="12"/>
    </row>
    <row r="67" spans="1:40">
      <c r="A67" s="14" t="s">
        <v>13</v>
      </c>
      <c r="B67" s="37">
        <f>B57</f>
        <v>4.1962249999999983</v>
      </c>
      <c r="C67" s="37">
        <f t="shared" ref="C67:I67" si="12">C57</f>
        <v>0.17136240000000003</v>
      </c>
      <c r="D67" s="37">
        <f t="shared" si="12"/>
        <v>29.717799999999993</v>
      </c>
      <c r="E67" s="37">
        <f t="shared" si="12"/>
        <v>414.30999999999995</v>
      </c>
      <c r="F67" s="37">
        <f t="shared" si="12"/>
        <v>3778.5599999999986</v>
      </c>
      <c r="G67" s="37">
        <f t="shared" si="12"/>
        <v>19.619839999999996</v>
      </c>
      <c r="H67" s="37">
        <f t="shared" si="12"/>
        <v>107.82187999999999</v>
      </c>
      <c r="I67" s="37">
        <f t="shared" si="12"/>
        <v>2.5785599999999995</v>
      </c>
      <c r="J67" s="37">
        <f>J57</f>
        <v>0.69009600000000137</v>
      </c>
      <c r="K67" s="38"/>
      <c r="L67" s="38"/>
      <c r="M67" s="38"/>
      <c r="N67" s="38"/>
      <c r="O67" s="38"/>
      <c r="P67" s="38"/>
      <c r="Q67" s="38"/>
      <c r="R67" s="38"/>
      <c r="S67" s="68"/>
    </row>
    <row r="68" spans="1:40">
      <c r="A68" s="14" t="s">
        <v>14</v>
      </c>
      <c r="B68" s="37">
        <f>B43</f>
        <v>0.55651252153173436</v>
      </c>
      <c r="C68" s="37">
        <f t="shared" ref="C68:J68" si="13">C43</f>
        <v>1.5702404217606694</v>
      </c>
      <c r="D68" s="37">
        <f t="shared" si="13"/>
        <v>25.212213353604458</v>
      </c>
      <c r="E68" s="37">
        <f>E43</f>
        <v>34.734029633228083</v>
      </c>
      <c r="F68" s="37">
        <f t="shared" si="13"/>
        <v>450.66152149944872</v>
      </c>
      <c r="G68" s="37">
        <f t="shared" si="13"/>
        <v>2.9048145542265558</v>
      </c>
      <c r="H68" s="37">
        <f t="shared" si="13"/>
        <v>11.62290142057684</v>
      </c>
      <c r="I68" s="37">
        <f t="shared" si="13"/>
        <v>1.9400774119558462</v>
      </c>
      <c r="J68" s="37">
        <f t="shared" si="13"/>
        <v>0.1705906650144568</v>
      </c>
      <c r="K68" s="38"/>
      <c r="L68" s="38"/>
      <c r="M68" s="38"/>
      <c r="N68" s="38"/>
      <c r="O68" s="38"/>
      <c r="P68" s="38"/>
      <c r="Q68" s="38"/>
      <c r="R68" s="38"/>
      <c r="S68" s="66"/>
    </row>
    <row r="69" spans="1:40">
      <c r="A69" s="172" t="s">
        <v>124</v>
      </c>
      <c r="B69" s="173">
        <f>$D$61*B67+$D$62*B68</f>
        <v>4.1962249999999983</v>
      </c>
      <c r="C69" s="173">
        <f t="shared" ref="C69:J69" si="14">$D$61*C67+$D$62*C68</f>
        <v>0.17136240000000003</v>
      </c>
      <c r="D69" s="173">
        <f>$D$61*D67+$D$62*D68</f>
        <v>29.717799999999993</v>
      </c>
      <c r="E69" s="173">
        <f>$D$61*E67+$D$62*E68</f>
        <v>414.30999999999995</v>
      </c>
      <c r="F69" s="173">
        <f t="shared" si="14"/>
        <v>3778.5599999999986</v>
      </c>
      <c r="G69" s="173">
        <f t="shared" si="14"/>
        <v>19.619839999999996</v>
      </c>
      <c r="H69" s="173">
        <f t="shared" si="14"/>
        <v>107.82187999999999</v>
      </c>
      <c r="I69" s="173">
        <f t="shared" si="14"/>
        <v>2.5785599999999995</v>
      </c>
      <c r="J69" s="173">
        <f t="shared" si="14"/>
        <v>0.69009600000000137</v>
      </c>
      <c r="K69" s="173">
        <f>(B69/D69)*(0.992745*207.2019/(238.0289*0.01387))</f>
        <v>8.7976646292503879</v>
      </c>
      <c r="L69" s="173">
        <f>K69/137.88</f>
        <v>6.3806677032567372E-2</v>
      </c>
      <c r="M69" s="173">
        <f>(C69/D69)*(1*207.2019/(0.01387*232.0381))</f>
        <v>0.37124178498368238</v>
      </c>
      <c r="N69" s="173">
        <f>M69/K69</f>
        <v>4.2197765046576269E-2</v>
      </c>
      <c r="O69" s="173">
        <f>(E69/F69)*(87.62*0.2784/(85.4678*0.0986))</f>
        <v>0.31738919130010312</v>
      </c>
      <c r="P69" s="173">
        <f>(G69/H69)*(0.15*144.24/(150.36*0.238))</f>
        <v>0.11001610370838626</v>
      </c>
      <c r="Q69" s="173">
        <f>(J69/I69)*(0.0259*178.49/(0.18606*174.967))</f>
        <v>3.8004652014242864E-2</v>
      </c>
      <c r="R69" s="7"/>
      <c r="S69" s="13"/>
      <c r="T69" s="13"/>
      <c r="U69" s="13"/>
      <c r="V69" s="13"/>
      <c r="W69" s="13"/>
    </row>
    <row r="70" spans="1:40">
      <c r="A70" s="1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13"/>
      <c r="T70" s="13"/>
      <c r="U70" s="13"/>
      <c r="V70" s="13"/>
      <c r="W70" s="13"/>
    </row>
    <row r="71" spans="1:40">
      <c r="A71" s="14" t="s">
        <v>13</v>
      </c>
      <c r="B71" s="7">
        <f>B57</f>
        <v>4.1962249999999983</v>
      </c>
      <c r="C71" s="7">
        <f t="shared" ref="C71:J71" si="15">C57</f>
        <v>0.17136240000000003</v>
      </c>
      <c r="D71" s="7">
        <f t="shared" si="15"/>
        <v>29.717799999999993</v>
      </c>
      <c r="E71" s="7">
        <f t="shared" si="15"/>
        <v>414.30999999999995</v>
      </c>
      <c r="F71" s="7">
        <f t="shared" si="15"/>
        <v>3778.5599999999986</v>
      </c>
      <c r="G71" s="7">
        <f t="shared" si="15"/>
        <v>19.619839999999996</v>
      </c>
      <c r="H71" s="7">
        <f t="shared" si="15"/>
        <v>107.82187999999999</v>
      </c>
      <c r="I71" s="7">
        <f t="shared" si="15"/>
        <v>2.5785599999999995</v>
      </c>
      <c r="J71" s="7">
        <f t="shared" si="15"/>
        <v>0.69009600000000137</v>
      </c>
      <c r="K71" s="3"/>
      <c r="L71" s="3"/>
      <c r="M71" s="3"/>
      <c r="N71" s="3"/>
      <c r="O71" s="3"/>
      <c r="P71" s="3"/>
      <c r="Q71" s="3"/>
      <c r="R71" s="3"/>
      <c r="S71" s="13"/>
      <c r="T71" s="13"/>
      <c r="U71" s="13"/>
      <c r="V71" s="13"/>
      <c r="W71" s="13"/>
    </row>
    <row r="72" spans="1:40">
      <c r="A72" s="14" t="s">
        <v>25</v>
      </c>
      <c r="B72" s="7">
        <f>B41</f>
        <v>1.68</v>
      </c>
      <c r="C72" s="7">
        <f t="shared" ref="C72:J72" si="16">C41</f>
        <v>5.9231956111777828</v>
      </c>
      <c r="D72" s="7">
        <f t="shared" si="16"/>
        <v>19.240065744948271</v>
      </c>
      <c r="E72" s="7">
        <f t="shared" si="16"/>
        <v>50.5166475315729</v>
      </c>
      <c r="F72" s="7">
        <f t="shared" si="16"/>
        <v>546.63991975927786</v>
      </c>
      <c r="G72" s="7">
        <f t="shared" si="16"/>
        <v>2.0299933270115549</v>
      </c>
      <c r="H72" s="7">
        <f t="shared" si="16"/>
        <v>9.2131304169794586</v>
      </c>
      <c r="I72" s="7">
        <f t="shared" si="16"/>
        <v>1.7440611710125002</v>
      </c>
      <c r="J72" s="7">
        <f t="shared" si="16"/>
        <v>7.6340110905730132E-2</v>
      </c>
      <c r="K72" s="7"/>
      <c r="L72" s="7"/>
      <c r="M72" s="7"/>
      <c r="N72" s="7"/>
      <c r="O72" s="7"/>
      <c r="P72" s="7"/>
      <c r="Q72" s="7"/>
      <c r="R72" s="7"/>
      <c r="S72" s="13"/>
      <c r="T72" s="13"/>
      <c r="U72" s="13"/>
      <c r="V72" s="13"/>
      <c r="W72" s="13"/>
    </row>
    <row r="73" spans="1:40">
      <c r="A73" s="219" t="s">
        <v>125</v>
      </c>
      <c r="B73" s="220">
        <f>$D$61*B71+$D$62*B72</f>
        <v>4.1962249999999983</v>
      </c>
      <c r="C73" s="220">
        <f t="shared" ref="C73:J73" si="17">$D$61*C71+$D$62*C72</f>
        <v>0.17136240000000003</v>
      </c>
      <c r="D73" s="220">
        <f>$D$61*D71+$D$62*D72</f>
        <v>29.717799999999993</v>
      </c>
      <c r="E73" s="220">
        <f t="shared" si="17"/>
        <v>414.30999999999995</v>
      </c>
      <c r="F73" s="220">
        <f t="shared" si="17"/>
        <v>3778.5599999999986</v>
      </c>
      <c r="G73" s="220">
        <f t="shared" si="17"/>
        <v>19.619839999999996</v>
      </c>
      <c r="H73" s="220">
        <f t="shared" si="17"/>
        <v>107.82187999999999</v>
      </c>
      <c r="I73" s="220">
        <f t="shared" si="17"/>
        <v>2.5785599999999995</v>
      </c>
      <c r="J73" s="220">
        <f t="shared" si="17"/>
        <v>0.69009600000000137</v>
      </c>
      <c r="K73" s="220">
        <f>(B73/D73)*(0.992745*207.2019/(238.0289*0.01387))</f>
        <v>8.7976646292503879</v>
      </c>
      <c r="L73" s="220">
        <f>K73/137.88</f>
        <v>6.3806677032567372E-2</v>
      </c>
      <c r="M73" s="221">
        <f>(C73/D73)*(1*207.2019/(0.01387*232.0381))</f>
        <v>0.37124178498368238</v>
      </c>
      <c r="N73" s="220">
        <f>M73/K73</f>
        <v>4.2197765046576269E-2</v>
      </c>
      <c r="O73" s="220">
        <f>(E73/F73)*(87.62*0.2784/(85.4678*0.0986))</f>
        <v>0.31738919130010312</v>
      </c>
      <c r="P73" s="220">
        <f>(G73/H73)*(0.15*144.24/(150.36*0.238))</f>
        <v>0.11001610370838626</v>
      </c>
      <c r="Q73" s="220">
        <f>(J73/I73)*(0.0259*178.49/(0.18606*174.967))</f>
        <v>3.8004652014242864E-2</v>
      </c>
      <c r="R73" s="7"/>
      <c r="S73" s="13"/>
      <c r="T73" s="13"/>
      <c r="U73" s="13"/>
      <c r="V73" s="13"/>
      <c r="W73" s="13"/>
    </row>
    <row r="74" spans="1:40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8"/>
      <c r="L74" s="58"/>
      <c r="M74" s="58"/>
      <c r="N74" s="58"/>
      <c r="O74" s="58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</row>
    <row r="75" spans="1:40" s="25" customFormat="1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8"/>
      <c r="R75" s="58"/>
      <c r="S75" s="58"/>
      <c r="T75" s="58"/>
      <c r="U75" s="58"/>
    </row>
    <row r="76" spans="1:40">
      <c r="A76" s="45"/>
      <c r="B76" s="125" t="s">
        <v>103</v>
      </c>
      <c r="C76" s="7"/>
      <c r="F76" s="7"/>
      <c r="G76" s="7"/>
      <c r="H76" s="7"/>
      <c r="I76" s="125"/>
      <c r="J76" s="7"/>
      <c r="K76" s="7"/>
      <c r="L76" s="7"/>
      <c r="M76" s="7"/>
      <c r="N76" s="7"/>
      <c r="O76" s="7"/>
      <c r="P76" s="7"/>
    </row>
    <row r="77" spans="1:40">
      <c r="A77" s="45"/>
      <c r="B77" s="7"/>
      <c r="C77" s="7"/>
      <c r="D77" s="103" t="s">
        <v>36</v>
      </c>
      <c r="E77" s="123">
        <f>Recycling_age</f>
        <v>370</v>
      </c>
      <c r="F77" s="116" t="s">
        <v>37</v>
      </c>
      <c r="G77" s="7"/>
      <c r="H77" s="7"/>
      <c r="I77" s="7"/>
      <c r="J77" s="7"/>
      <c r="K77" s="7"/>
      <c r="L77" s="7"/>
      <c r="M77" s="7"/>
      <c r="N77" s="7"/>
      <c r="O77" s="7"/>
      <c r="P77" s="7"/>
      <c r="S77" s="83"/>
    </row>
    <row r="78" spans="1:40">
      <c r="A78" s="45"/>
      <c r="B78" s="7"/>
      <c r="C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R78" s="66"/>
    </row>
    <row r="79" spans="1:40" ht="18">
      <c r="A79" s="2"/>
      <c r="B79" s="82" t="s">
        <v>87</v>
      </c>
      <c r="C79" s="82" t="s">
        <v>88</v>
      </c>
      <c r="D79" s="82" t="s">
        <v>89</v>
      </c>
      <c r="E79" s="82" t="s">
        <v>90</v>
      </c>
      <c r="F79" s="82" t="s">
        <v>91</v>
      </c>
      <c r="G79" s="82" t="s">
        <v>92</v>
      </c>
      <c r="H79" s="162" t="s">
        <v>97</v>
      </c>
      <c r="I79" s="162" t="s">
        <v>98</v>
      </c>
      <c r="J79" s="83" t="s">
        <v>84</v>
      </c>
      <c r="K79" s="7"/>
      <c r="L79" s="7"/>
      <c r="M79" s="7"/>
      <c r="N79" s="7"/>
      <c r="O79" s="7"/>
      <c r="P79" s="7"/>
    </row>
    <row r="80" spans="1:40">
      <c r="A80" s="51" t="s">
        <v>34</v>
      </c>
      <c r="B80" s="7">
        <f>$M$5-$B$9*(EXP($H$9*$E$77*10^6)-1)</f>
        <v>17.254462132919496</v>
      </c>
      <c r="C80" s="7">
        <f>$N$5-$B$10*(EXP($H$10*$E$77*10^6)-1)</f>
        <v>15.391752360087407</v>
      </c>
      <c r="D80" s="7">
        <f>$O$5-$B$11*(EXP($H$11*$E$77*10^6)-1)</f>
        <v>36.709569308743518</v>
      </c>
      <c r="E80" s="54">
        <f>$P$5-$B$13*(EXP($H$13*$E$77*10^6)-1)</f>
        <v>0.70224468573000109</v>
      </c>
      <c r="F80" s="54">
        <f>$Q$5-$B$14*(EXP($H$14*$E$77*10^6)-1)</f>
        <v>0.5126713828620334</v>
      </c>
      <c r="G80" s="54">
        <f>$R$5-$B$15*(EXP($H$15*$E$77*10^6)-1)</f>
        <v>0.28292937025696813</v>
      </c>
      <c r="H80" s="53">
        <f>((F80/$V$12)-1)*10000</f>
        <v>10.078297439635175</v>
      </c>
      <c r="I80" s="53">
        <f>((G80/$X$12)-1)*10000</f>
        <v>13.352554757100066</v>
      </c>
      <c r="K80" s="7"/>
      <c r="L80" s="7"/>
      <c r="M80" s="7"/>
      <c r="N80" s="7"/>
      <c r="O80" s="7"/>
      <c r="P80" s="7"/>
    </row>
    <row r="81" spans="1:24">
      <c r="A81" s="168" t="s">
        <v>126</v>
      </c>
      <c r="B81" s="169">
        <f>I62-K69*(EXP($H$9*$E$77*10^6)-1)</f>
        <v>17.83036075261488</v>
      </c>
      <c r="C81" s="169">
        <f>J62-L69*(EXP($H$10*$E$77*10^6)-1)</f>
        <v>15.451947429853421</v>
      </c>
      <c r="D81" s="169">
        <f>K62-M69*(EXP($H$11*$E$77*10^6)-1)</f>
        <v>37.793140858265069</v>
      </c>
      <c r="E81" s="170">
        <f>L62-O69*(EXP($H$13*$E$77*10^6)-1)</f>
        <v>0.70293492143534275</v>
      </c>
      <c r="F81" s="170">
        <f>M62-P69*(EXP($H$14*$E$77*10^6)-1)</f>
        <v>0.51281050148094776</v>
      </c>
      <c r="G81" s="170">
        <f>N62-Q69*(EXP($H$15*$E$77*10^6)-1)</f>
        <v>0.2829365587992122</v>
      </c>
      <c r="H81" s="171">
        <f>((F81/$V$12)-1)*10000</f>
        <v>12.794634482264922</v>
      </c>
      <c r="I81" s="171">
        <f>((G81/$X$12)-1)*10000</f>
        <v>13.606969517148126</v>
      </c>
      <c r="J81" s="66"/>
      <c r="K81" s="7"/>
      <c r="L81" s="7"/>
      <c r="M81" s="7"/>
      <c r="N81" s="7"/>
      <c r="O81" s="7"/>
      <c r="P81" s="7"/>
    </row>
    <row r="82" spans="1:24">
      <c r="A82" s="210" t="s">
        <v>127</v>
      </c>
      <c r="B82" s="222">
        <f>I63-K73*(EXP($H$9*$E$77*10^6)-1)</f>
        <v>17.83036075261488</v>
      </c>
      <c r="C82" s="222">
        <f>J63-L73*(EXP($H$10*$E$77*10^6)-1)</f>
        <v>15.451947429853421</v>
      </c>
      <c r="D82" s="222">
        <f>K63-M73*(EXP($H$11*$E$77*10^6)-1)</f>
        <v>37.793140858265069</v>
      </c>
      <c r="E82" s="223">
        <f>L63-O73*(EXP($H$13*$E$77*10^6)-1)</f>
        <v>0.70293492143534275</v>
      </c>
      <c r="F82" s="224">
        <f>M63-P73*(EXP($H$14*$E$77*10^6)-1)</f>
        <v>0.51281050148094776</v>
      </c>
      <c r="G82" s="223">
        <f>N63-Q73*(EXP($H$15*$E$77*10^6)-1)</f>
        <v>0.2829365587992122</v>
      </c>
      <c r="H82" s="221">
        <f>((F82/$V$12)-1)*10000</f>
        <v>12.794634482264922</v>
      </c>
      <c r="I82" s="221">
        <f>((G82/$X$12)-1)*10000</f>
        <v>13.606969517148126</v>
      </c>
      <c r="J82" s="66"/>
      <c r="K82" s="7"/>
      <c r="L82" s="7"/>
      <c r="M82" s="7"/>
      <c r="N82" s="7"/>
      <c r="O82" s="7"/>
      <c r="P82" s="7"/>
    </row>
    <row r="83" spans="1:24" s="25" customFormat="1" ht="14" thickBot="1">
      <c r="A83" s="55"/>
      <c r="B83" s="29"/>
      <c r="C83" s="27"/>
      <c r="D83" s="27"/>
      <c r="E83" s="27"/>
      <c r="F83" s="27"/>
      <c r="G83" s="27"/>
      <c r="H83" s="27"/>
      <c r="I83" s="27"/>
      <c r="J83" s="27"/>
      <c r="K83" s="27"/>
      <c r="L83" s="29"/>
      <c r="M83" s="29"/>
      <c r="N83" s="27"/>
      <c r="O83" s="27"/>
      <c r="P83" s="27"/>
      <c r="Q83" s="29"/>
      <c r="R83" s="29"/>
      <c r="S83" s="29"/>
      <c r="T83" s="29"/>
      <c r="U83" s="29"/>
      <c r="V83" s="29"/>
      <c r="W83" s="29"/>
      <c r="X83" s="29"/>
    </row>
    <row r="84" spans="1:24" s="25" customFormat="1">
      <c r="A84" s="105" t="s">
        <v>107</v>
      </c>
      <c r="C84" s="57"/>
      <c r="D84" s="57"/>
      <c r="E84" s="57"/>
      <c r="F84" s="57"/>
      <c r="G84" s="57"/>
      <c r="H84" s="57"/>
      <c r="I84" s="57"/>
      <c r="J84" s="57"/>
      <c r="K84" s="57"/>
      <c r="N84" s="57"/>
      <c r="O84" s="57"/>
      <c r="P84" s="57"/>
    </row>
    <row r="85" spans="1:24" s="25" customFormat="1">
      <c r="A85" s="105"/>
      <c r="C85" s="57"/>
      <c r="D85" s="57"/>
      <c r="E85" s="57"/>
      <c r="F85" s="57"/>
      <c r="G85" s="57"/>
      <c r="H85" s="57"/>
      <c r="I85" s="57"/>
      <c r="J85" s="57"/>
      <c r="K85" s="57"/>
      <c r="N85" s="57"/>
      <c r="O85" s="57"/>
      <c r="P85" s="57"/>
    </row>
    <row r="86" spans="1:24">
      <c r="A86" s="165"/>
      <c r="B86" s="105" t="s">
        <v>112</v>
      </c>
      <c r="C86" s="57"/>
      <c r="D86" s="57"/>
      <c r="E86" s="57"/>
      <c r="F86" s="57"/>
      <c r="G86" s="57"/>
      <c r="H86" s="57"/>
      <c r="I86" s="57"/>
      <c r="J86" s="57"/>
      <c r="K86" s="25"/>
      <c r="L86" s="166" t="s">
        <v>113</v>
      </c>
      <c r="M86" s="25"/>
      <c r="N86" s="25"/>
      <c r="O86" s="25"/>
      <c r="P86" s="25"/>
      <c r="Q86" s="25"/>
      <c r="R86" s="25"/>
      <c r="S86" s="25"/>
      <c r="T86" s="107"/>
      <c r="U86" s="25"/>
      <c r="V86" s="25"/>
    </row>
    <row r="87" spans="1:24">
      <c r="A87" s="106"/>
      <c r="B87" s="174" t="s">
        <v>32</v>
      </c>
      <c r="C87" s="57"/>
      <c r="D87" s="57"/>
      <c r="E87" s="57"/>
      <c r="F87" s="57"/>
      <c r="G87" s="57"/>
      <c r="H87" s="57"/>
      <c r="I87" s="57"/>
      <c r="J87" s="57"/>
      <c r="K87" s="25"/>
      <c r="L87" s="25"/>
      <c r="M87" s="25"/>
      <c r="N87" s="25"/>
      <c r="O87" s="25"/>
      <c r="P87" s="25"/>
      <c r="Q87" s="25"/>
      <c r="R87" s="25"/>
      <c r="S87" s="25"/>
      <c r="T87" s="107"/>
      <c r="U87" s="25"/>
      <c r="V87" s="25"/>
    </row>
    <row r="88" spans="1:24" ht="19" thickBot="1">
      <c r="A88" s="175" t="s">
        <v>128</v>
      </c>
      <c r="B88" s="176" t="s">
        <v>23</v>
      </c>
      <c r="C88" s="176" t="s">
        <v>22</v>
      </c>
      <c r="D88" s="176" t="s">
        <v>21</v>
      </c>
      <c r="E88" s="176" t="s">
        <v>15</v>
      </c>
      <c r="F88" s="176" t="s">
        <v>16</v>
      </c>
      <c r="G88" s="176" t="s">
        <v>19</v>
      </c>
      <c r="H88" s="176" t="s">
        <v>18</v>
      </c>
      <c r="I88" s="176" t="s">
        <v>17</v>
      </c>
      <c r="J88" s="176" t="s">
        <v>20</v>
      </c>
      <c r="K88" s="177"/>
      <c r="L88" s="178" t="s">
        <v>129</v>
      </c>
      <c r="M88" s="178" t="s">
        <v>130</v>
      </c>
      <c r="N88" s="178" t="s">
        <v>131</v>
      </c>
      <c r="O88" s="178" t="s">
        <v>132</v>
      </c>
      <c r="P88" s="178" t="s">
        <v>133</v>
      </c>
      <c r="Q88" s="178" t="s">
        <v>134</v>
      </c>
      <c r="R88" s="179" t="s">
        <v>135</v>
      </c>
      <c r="S88" s="179" t="s">
        <v>136</v>
      </c>
      <c r="T88" s="180" t="s">
        <v>84</v>
      </c>
    </row>
    <row r="89" spans="1:24">
      <c r="A89" s="113">
        <v>0</v>
      </c>
      <c r="B89" s="81">
        <f t="shared" ref="B89:J103" si="18">$A89*B$69+(1-$A89)*B$5</f>
        <v>4.7000000000000002E-3</v>
      </c>
      <c r="C89" s="57">
        <f t="shared" si="18"/>
        <v>1.3699999999999999E-2</v>
      </c>
      <c r="D89" s="57">
        <f t="shared" si="18"/>
        <v>2.3199999999999998E-2</v>
      </c>
      <c r="E89" s="57">
        <f t="shared" si="18"/>
        <v>8.7999999999999995E-2</v>
      </c>
      <c r="F89" s="57">
        <f t="shared" si="18"/>
        <v>9.8000000000000007</v>
      </c>
      <c r="G89" s="57">
        <f t="shared" si="18"/>
        <v>0.27</v>
      </c>
      <c r="H89" s="57">
        <f t="shared" si="18"/>
        <v>0.71299999999999997</v>
      </c>
      <c r="I89" s="57">
        <f t="shared" si="18"/>
        <v>0.19900000000000001</v>
      </c>
      <c r="J89" s="57">
        <f t="shared" si="18"/>
        <v>6.3E-2</v>
      </c>
      <c r="K89" s="25"/>
      <c r="L89" s="57">
        <f t="shared" ref="L89:L103" si="19">$A89*B$81*(D$69/D89)+B$80*(1-$A89)*(D$5/D89)</f>
        <v>17.254462132919496</v>
      </c>
      <c r="M89" s="57">
        <f t="shared" ref="M89:M103" si="20">$A89*C$81*(D$69/D89)+C$80*(1-$A89)*(D$5/D89)</f>
        <v>15.391752360087407</v>
      </c>
      <c r="N89" s="57">
        <f t="shared" ref="N89:N103" si="21">$A89*D$81*(D$69/D89)+D$80*(1-$A89)*(D$5/D89)</f>
        <v>36.709569308743518</v>
      </c>
      <c r="O89" s="75">
        <f t="shared" ref="O89:O103" si="22">$A89*E$81*(F$69/F89)+E$80*(1-$A89)*(F$5/F89)</f>
        <v>0.70224468573000109</v>
      </c>
      <c r="P89" s="75">
        <f>$A89*F$81*(H$69/H89)+F$80*(1-$A89)*(H$5/H89)</f>
        <v>0.5126713828620334</v>
      </c>
      <c r="Q89" s="75">
        <f>$A89*G$81*(I$69/I89)+G$80*(1-$A89)*(I$5/I89)</f>
        <v>0.28292937025696813</v>
      </c>
      <c r="R89" s="37">
        <f>((P89/$V$12)-1)*10000</f>
        <v>10.078297439635175</v>
      </c>
      <c r="S89" s="37">
        <f t="shared" ref="S89:S103" si="23">((Q89/$X$12)-1)*10000</f>
        <v>13.352554757100066</v>
      </c>
      <c r="T89" s="107"/>
    </row>
    <row r="90" spans="1:24">
      <c r="A90" s="114">
        <f>A89+0.001</f>
        <v>1E-3</v>
      </c>
      <c r="B90" s="81">
        <f t="shared" si="18"/>
        <v>8.8915249999999991E-3</v>
      </c>
      <c r="C90" s="57">
        <f t="shared" si="18"/>
        <v>1.3857662399999998E-2</v>
      </c>
      <c r="D90" s="57">
        <f t="shared" si="18"/>
        <v>5.2894599999999993E-2</v>
      </c>
      <c r="E90" s="57">
        <f t="shared" si="18"/>
        <v>0.50222199999999995</v>
      </c>
      <c r="F90" s="57">
        <f t="shared" si="18"/>
        <v>13.568759999999999</v>
      </c>
      <c r="G90" s="57">
        <f t="shared" si="18"/>
        <v>0.28934984000000002</v>
      </c>
      <c r="H90" s="57">
        <f t="shared" si="18"/>
        <v>0.82010888000000004</v>
      </c>
      <c r="I90" s="57">
        <f t="shared" si="18"/>
        <v>0.20137956000000001</v>
      </c>
      <c r="J90" s="57">
        <f t="shared" si="18"/>
        <v>6.3627096000000008E-2</v>
      </c>
      <c r="K90" s="25"/>
      <c r="L90" s="57">
        <f t="shared" si="19"/>
        <v>17.578019547105132</v>
      </c>
      <c r="M90" s="57">
        <f t="shared" si="20"/>
        <v>15.425571786726277</v>
      </c>
      <c r="N90" s="57">
        <f t="shared" si="21"/>
        <v>37.318352863102028</v>
      </c>
      <c r="O90" s="75">
        <f t="shared" si="22"/>
        <v>0.70243689909561269</v>
      </c>
      <c r="P90" s="75">
        <f t="shared" ref="P90:P103" si="24">$A90*F$81*(H$69/H90)+F$80*(1-$A90)*(H$5/H90)</f>
        <v>0.51268967315421299</v>
      </c>
      <c r="Q90" s="75">
        <f t="shared" ref="Q90:Q103" si="25">$A90*G$81*(I$69/I90)+G$80*(1-$A90)*(I$5/I90)</f>
        <v>0.28292946230249388</v>
      </c>
      <c r="R90" s="37">
        <f t="shared" ref="R90:R103" si="26">((P90/$V$12)-1)*10000</f>
        <v>10.435421443277804</v>
      </c>
      <c r="S90" s="37">
        <f t="shared" si="23"/>
        <v>13.355812405111411</v>
      </c>
      <c r="T90" s="25"/>
    </row>
    <row r="91" spans="1:24">
      <c r="A91" s="114">
        <f>A90+0.001</f>
        <v>2E-3</v>
      </c>
      <c r="B91" s="81">
        <f t="shared" si="18"/>
        <v>1.3083049999999999E-2</v>
      </c>
      <c r="C91" s="57">
        <f t="shared" si="18"/>
        <v>1.4015324799999998E-2</v>
      </c>
      <c r="D91" s="57">
        <f t="shared" si="18"/>
        <v>8.2589199999999988E-2</v>
      </c>
      <c r="E91" s="57">
        <f t="shared" si="18"/>
        <v>0.91644399999999993</v>
      </c>
      <c r="F91" s="57">
        <f t="shared" si="18"/>
        <v>17.337519999999998</v>
      </c>
      <c r="G91" s="57">
        <f t="shared" si="18"/>
        <v>0.30869968000000003</v>
      </c>
      <c r="H91" s="57">
        <f t="shared" si="18"/>
        <v>0.92721775999999989</v>
      </c>
      <c r="I91" s="57">
        <f t="shared" si="18"/>
        <v>0.20375911999999999</v>
      </c>
      <c r="J91" s="57">
        <f t="shared" si="18"/>
        <v>6.4254192000000002E-2</v>
      </c>
      <c r="K91" s="25"/>
      <c r="L91" s="57">
        <f t="shared" si="19"/>
        <v>17.668909542517447</v>
      </c>
      <c r="M91" s="57">
        <f t="shared" si="20"/>
        <v>15.43507194774033</v>
      </c>
      <c r="N91" s="57">
        <f t="shared" si="21"/>
        <v>37.489365277087359</v>
      </c>
      <c r="O91" s="75">
        <f t="shared" si="22"/>
        <v>0.70254554733267272</v>
      </c>
      <c r="P91" s="75">
        <f t="shared" si="24"/>
        <v>0.51270373778809597</v>
      </c>
      <c r="Q91" s="75">
        <f t="shared" si="25"/>
        <v>0.28292955219814936</v>
      </c>
      <c r="R91" s="37">
        <f t="shared" si="26"/>
        <v>10.710038071199968</v>
      </c>
      <c r="S91" s="37">
        <f t="shared" si="23"/>
        <v>13.358993965550958</v>
      </c>
      <c r="T91" s="25"/>
    </row>
    <row r="92" spans="1:24">
      <c r="A92" s="114">
        <f>A90+0.004</f>
        <v>5.0000000000000001E-3</v>
      </c>
      <c r="B92" s="81">
        <f t="shared" si="18"/>
        <v>2.5657624999999993E-2</v>
      </c>
      <c r="C92" s="57">
        <f t="shared" si="18"/>
        <v>1.4488311999999998E-2</v>
      </c>
      <c r="D92" s="57">
        <f t="shared" si="18"/>
        <v>0.17167299999999996</v>
      </c>
      <c r="E92" s="57">
        <f t="shared" si="18"/>
        <v>2.1591099999999996</v>
      </c>
      <c r="F92" s="57">
        <f t="shared" si="18"/>
        <v>28.643799999999995</v>
      </c>
      <c r="G92" s="57">
        <f t="shared" si="18"/>
        <v>0.3667492</v>
      </c>
      <c r="H92" s="57">
        <f t="shared" si="18"/>
        <v>1.2485443999999999</v>
      </c>
      <c r="I92" s="57">
        <f t="shared" si="18"/>
        <v>0.21089780000000002</v>
      </c>
      <c r="J92" s="57">
        <f t="shared" si="18"/>
        <v>6.613548000000001E-2</v>
      </c>
      <c r="K92" s="25"/>
      <c r="L92" s="57">
        <f t="shared" si="19"/>
        <v>17.752922578079293</v>
      </c>
      <c r="M92" s="57">
        <f t="shared" si="20"/>
        <v>15.443853303284429</v>
      </c>
      <c r="N92" s="57">
        <f t="shared" si="21"/>
        <v>37.647438472629851</v>
      </c>
      <c r="O92" s="75">
        <f>$A92*E$81*(F$69/F92)+E$80*(1-$A92)*(F$5/F92)</f>
        <v>0.7026999495264904</v>
      </c>
      <c r="P92" s="75">
        <f t="shared" si="24"/>
        <v>0.51273145293657119</v>
      </c>
      <c r="Q92" s="75">
        <f t="shared" si="25"/>
        <v>0.28292980971360276</v>
      </c>
      <c r="R92" s="37">
        <f t="shared" si="26"/>
        <v>11.251185510936512</v>
      </c>
      <c r="S92" s="37">
        <f t="shared" si="23"/>
        <v>13.368107876279289</v>
      </c>
      <c r="T92" s="25"/>
    </row>
    <row r="93" spans="1:24">
      <c r="A93" s="114">
        <v>0.01</v>
      </c>
      <c r="B93" s="81">
        <f t="shared" si="18"/>
        <v>4.6615249999999983E-2</v>
      </c>
      <c r="C93" s="57">
        <f t="shared" si="18"/>
        <v>1.5276623999999999E-2</v>
      </c>
      <c r="D93" s="57">
        <f t="shared" si="18"/>
        <v>0.32014599999999993</v>
      </c>
      <c r="E93" s="57">
        <f t="shared" si="18"/>
        <v>4.2302199999999992</v>
      </c>
      <c r="F93" s="57">
        <f t="shared" si="18"/>
        <v>47.487599999999986</v>
      </c>
      <c r="G93" s="57">
        <f t="shared" si="18"/>
        <v>0.46349839999999998</v>
      </c>
      <c r="H93" s="57">
        <f t="shared" si="18"/>
        <v>1.7840887999999999</v>
      </c>
      <c r="I93" s="57">
        <f t="shared" si="18"/>
        <v>0.22279560000000001</v>
      </c>
      <c r="J93" s="57">
        <f t="shared" si="18"/>
        <v>6.927096000000002E-2</v>
      </c>
      <c r="K93" s="25"/>
      <c r="L93" s="57">
        <f t="shared" si="19"/>
        <v>17.789044479735743</v>
      </c>
      <c r="M93" s="57">
        <f t="shared" si="20"/>
        <v>15.447628899050644</v>
      </c>
      <c r="N93" s="57">
        <f t="shared" si="21"/>
        <v>37.715402978205937</v>
      </c>
      <c r="O93" s="75">
        <f t="shared" si="22"/>
        <v>0.7027939021626648</v>
      </c>
      <c r="P93" s="75">
        <f t="shared" si="24"/>
        <v>0.51275545956849744</v>
      </c>
      <c r="Q93" s="75">
        <f t="shared" si="25"/>
        <v>0.28293020223423737</v>
      </c>
      <c r="R93" s="37">
        <f t="shared" si="26"/>
        <v>11.719922938600025</v>
      </c>
      <c r="S93" s="37">
        <f t="shared" si="23"/>
        <v>13.381999850434756</v>
      </c>
      <c r="T93" s="25"/>
    </row>
    <row r="94" spans="1:24">
      <c r="A94" s="114">
        <f>A93+0.01</f>
        <v>0.02</v>
      </c>
      <c r="B94" s="81">
        <f t="shared" si="18"/>
        <v>8.853049999999997E-2</v>
      </c>
      <c r="C94" s="57">
        <f t="shared" si="18"/>
        <v>1.6853248000000001E-2</v>
      </c>
      <c r="D94" s="57">
        <f t="shared" si="18"/>
        <v>0.61709199999999986</v>
      </c>
      <c r="E94" s="57">
        <f t="shared" si="18"/>
        <v>8.3724399999999992</v>
      </c>
      <c r="F94" s="57">
        <f t="shared" si="18"/>
        <v>85.175199999999975</v>
      </c>
      <c r="G94" s="57">
        <f t="shared" si="18"/>
        <v>0.65699679999999994</v>
      </c>
      <c r="H94" s="57">
        <f t="shared" si="18"/>
        <v>2.8551775999999998</v>
      </c>
      <c r="I94" s="57">
        <f t="shared" si="18"/>
        <v>0.24659119999999998</v>
      </c>
      <c r="J94" s="57">
        <f t="shared" si="18"/>
        <v>7.5541920000000026E-2</v>
      </c>
      <c r="K94" s="25"/>
      <c r="L94" s="57">
        <f t="shared" si="19"/>
        <v>17.809142472330262</v>
      </c>
      <c r="M94" s="57">
        <f t="shared" si="20"/>
        <v>15.449729616130021</v>
      </c>
      <c r="N94" s="57">
        <f t="shared" si="21"/>
        <v>37.753217989795012</v>
      </c>
      <c r="O94" s="75">
        <f t="shared" si="22"/>
        <v>0.70285709333850122</v>
      </c>
      <c r="P94" s="75">
        <f t="shared" si="24"/>
        <v>0.51277645535233551</v>
      </c>
      <c r="Q94" s="75">
        <f t="shared" si="25"/>
        <v>0.28293087364293562</v>
      </c>
      <c r="R94" s="37">
        <f t="shared" si="26"/>
        <v>12.129872561617017</v>
      </c>
      <c r="S94" s="37">
        <f t="shared" si="23"/>
        <v>13.405762148417377</v>
      </c>
      <c r="T94" s="25"/>
    </row>
    <row r="95" spans="1:24">
      <c r="A95" s="114">
        <f t="shared" ref="A95:A102" si="27">A94+0.01</f>
        <v>0.03</v>
      </c>
      <c r="B95" s="81">
        <f t="shared" si="18"/>
        <v>0.13044574999999994</v>
      </c>
      <c r="C95" s="57">
        <f t="shared" si="18"/>
        <v>1.8429872E-2</v>
      </c>
      <c r="D95" s="57">
        <f t="shared" si="18"/>
        <v>0.91403799999999968</v>
      </c>
      <c r="E95" s="57">
        <f t="shared" si="18"/>
        <v>12.514659999999997</v>
      </c>
      <c r="F95" s="57">
        <f t="shared" si="18"/>
        <v>122.86279999999995</v>
      </c>
      <c r="G95" s="57">
        <f t="shared" si="18"/>
        <v>0.8504951999999999</v>
      </c>
      <c r="H95" s="57">
        <f t="shared" si="18"/>
        <v>3.9262663999999994</v>
      </c>
      <c r="I95" s="57">
        <f t="shared" si="18"/>
        <v>0.27038679999999998</v>
      </c>
      <c r="J95" s="57">
        <f t="shared" si="18"/>
        <v>8.1812880000000032E-2</v>
      </c>
      <c r="K95" s="25"/>
      <c r="L95" s="57">
        <f t="shared" si="19"/>
        <v>17.81618188637778</v>
      </c>
      <c r="M95" s="57">
        <f t="shared" si="20"/>
        <v>15.450465401918025</v>
      </c>
      <c r="N95" s="57">
        <f t="shared" si="21"/>
        <v>37.766462870970855</v>
      </c>
      <c r="O95" s="75">
        <f t="shared" si="22"/>
        <v>0.70288151730801551</v>
      </c>
      <c r="P95" s="75">
        <f t="shared" si="24"/>
        <v>0.51278599580093909</v>
      </c>
      <c r="Q95" s="75">
        <f t="shared" si="25"/>
        <v>0.28293142687594758</v>
      </c>
      <c r="R95" s="37">
        <f t="shared" si="26"/>
        <v>12.316152975750949</v>
      </c>
      <c r="S95" s="37">
        <f t="shared" si="23"/>
        <v>13.425342007475916</v>
      </c>
      <c r="T95" s="25"/>
    </row>
    <row r="96" spans="1:24">
      <c r="A96" s="114">
        <f t="shared" si="27"/>
        <v>0.04</v>
      </c>
      <c r="B96" s="81">
        <f t="shared" si="18"/>
        <v>0.17236099999999993</v>
      </c>
      <c r="C96" s="57">
        <f t="shared" si="18"/>
        <v>2.0006495999999999E-2</v>
      </c>
      <c r="D96" s="57">
        <f t="shared" si="18"/>
        <v>1.2109839999999998</v>
      </c>
      <c r="E96" s="57">
        <f t="shared" si="18"/>
        <v>16.656879999999997</v>
      </c>
      <c r="F96" s="57">
        <f t="shared" si="18"/>
        <v>160.55039999999994</v>
      </c>
      <c r="G96" s="57">
        <f t="shared" si="18"/>
        <v>1.0439935999999999</v>
      </c>
      <c r="H96" s="57">
        <f t="shared" si="18"/>
        <v>4.9973551999999994</v>
      </c>
      <c r="I96" s="57">
        <f t="shared" si="18"/>
        <v>0.29418240000000001</v>
      </c>
      <c r="J96" s="57">
        <f t="shared" si="18"/>
        <v>8.8083840000000052E-2</v>
      </c>
      <c r="K96" s="25"/>
      <c r="L96" s="57">
        <f t="shared" si="19"/>
        <v>17.819769023857226</v>
      </c>
      <c r="M96" s="57">
        <f t="shared" si="20"/>
        <v>15.450840342894526</v>
      </c>
      <c r="N96" s="57">
        <f t="shared" si="21"/>
        <v>37.773212184103436</v>
      </c>
      <c r="O96" s="75">
        <f t="shared" si="22"/>
        <v>0.70289447471259492</v>
      </c>
      <c r="P96" s="75">
        <f t="shared" si="24"/>
        <v>0.51279144661923326</v>
      </c>
      <c r="Q96" s="75">
        <f t="shared" si="25"/>
        <v>0.28293189060998569</v>
      </c>
      <c r="R96" s="37">
        <f t="shared" si="26"/>
        <v>12.422582005600091</v>
      </c>
      <c r="S96" s="37">
        <f t="shared" si="23"/>
        <v>13.441754345338008</v>
      </c>
      <c r="T96" s="25"/>
    </row>
    <row r="97" spans="1:20">
      <c r="A97" s="114">
        <f t="shared" si="27"/>
        <v>0.05</v>
      </c>
      <c r="B97" s="81">
        <f t="shared" si="18"/>
        <v>0.21427624999999992</v>
      </c>
      <c r="C97" s="57">
        <f t="shared" si="18"/>
        <v>2.1583120000000001E-2</v>
      </c>
      <c r="D97" s="57">
        <f t="shared" si="18"/>
        <v>1.5079299999999998</v>
      </c>
      <c r="E97" s="57">
        <f t="shared" si="18"/>
        <v>20.799099999999999</v>
      </c>
      <c r="F97" s="57">
        <f t="shared" si="18"/>
        <v>198.23799999999994</v>
      </c>
      <c r="G97" s="57">
        <f t="shared" si="18"/>
        <v>1.2374919999999998</v>
      </c>
      <c r="H97" s="57">
        <f t="shared" si="18"/>
        <v>6.0684439999999995</v>
      </c>
      <c r="I97" s="57">
        <f t="shared" si="18"/>
        <v>0.31797799999999998</v>
      </c>
      <c r="J97" s="57">
        <f t="shared" si="18"/>
        <v>9.4354800000000072E-2</v>
      </c>
      <c r="K97" s="25"/>
      <c r="L97" s="57">
        <f t="shared" si="19"/>
        <v>17.821943382061814</v>
      </c>
      <c r="M97" s="57">
        <f t="shared" si="20"/>
        <v>15.451067614916624</v>
      </c>
      <c r="N97" s="57">
        <f t="shared" si="21"/>
        <v>37.777303308145726</v>
      </c>
      <c r="O97" s="75">
        <f t="shared" si="22"/>
        <v>0.70290250537779209</v>
      </c>
      <c r="P97" s="75">
        <f t="shared" si="24"/>
        <v>0.51279497328351842</v>
      </c>
      <c r="Q97" s="75">
        <f t="shared" si="25"/>
        <v>0.28293228493777761</v>
      </c>
      <c r="R97" s="37">
        <f t="shared" si="26"/>
        <v>12.491441292081795</v>
      </c>
      <c r="S97" s="37">
        <f t="shared" si="23"/>
        <v>13.455710277869848</v>
      </c>
      <c r="T97" s="25"/>
    </row>
    <row r="98" spans="1:20">
      <c r="A98" s="114">
        <f t="shared" si="27"/>
        <v>6.0000000000000005E-2</v>
      </c>
      <c r="B98" s="81">
        <f t="shared" si="18"/>
        <v>0.25619149999999991</v>
      </c>
      <c r="C98" s="57">
        <f t="shared" si="18"/>
        <v>2.3159744000000003E-2</v>
      </c>
      <c r="D98" s="57">
        <f t="shared" si="18"/>
        <v>1.8048759999999997</v>
      </c>
      <c r="E98" s="57">
        <f t="shared" si="18"/>
        <v>24.941319999999997</v>
      </c>
      <c r="F98" s="57">
        <f t="shared" si="18"/>
        <v>235.92559999999992</v>
      </c>
      <c r="G98" s="57">
        <f t="shared" si="18"/>
        <v>1.4309904</v>
      </c>
      <c r="H98" s="57">
        <f t="shared" si="18"/>
        <v>7.1395327999999996</v>
      </c>
      <c r="I98" s="57">
        <f t="shared" si="18"/>
        <v>0.34177360000000001</v>
      </c>
      <c r="J98" s="57">
        <f t="shared" si="18"/>
        <v>0.10062576000000008</v>
      </c>
      <c r="K98" s="25"/>
      <c r="L98" s="57">
        <f t="shared" si="19"/>
        <v>17.823402270648078</v>
      </c>
      <c r="M98" s="57">
        <f t="shared" si="20"/>
        <v>15.451220103388081</v>
      </c>
      <c r="N98" s="57">
        <f t="shared" si="21"/>
        <v>37.780048253370346</v>
      </c>
      <c r="O98" s="75">
        <f t="shared" si="22"/>
        <v>0.70290797034856967</v>
      </c>
      <c r="P98" s="75">
        <f t="shared" si="24"/>
        <v>0.51279744179155629</v>
      </c>
      <c r="Q98" s="75">
        <f t="shared" si="25"/>
        <v>0.28293262435631733</v>
      </c>
      <c r="R98" s="37">
        <f t="shared" si="26"/>
        <v>12.539639727888741</v>
      </c>
      <c r="S98" s="37">
        <f t="shared" si="23"/>
        <v>13.467722878395261</v>
      </c>
      <c r="T98" s="25"/>
    </row>
    <row r="99" spans="1:20">
      <c r="A99" s="114">
        <f t="shared" si="27"/>
        <v>7.0000000000000007E-2</v>
      </c>
      <c r="B99" s="81">
        <f t="shared" si="18"/>
        <v>0.29810674999999992</v>
      </c>
      <c r="C99" s="57">
        <f t="shared" si="18"/>
        <v>2.4736368000000002E-2</v>
      </c>
      <c r="D99" s="57">
        <f t="shared" si="18"/>
        <v>2.1018219999999999</v>
      </c>
      <c r="E99" s="57">
        <f t="shared" si="18"/>
        <v>29.083539999999999</v>
      </c>
      <c r="F99" s="57">
        <f t="shared" si="18"/>
        <v>273.61319999999989</v>
      </c>
      <c r="G99" s="57">
        <f t="shared" si="18"/>
        <v>1.6244888</v>
      </c>
      <c r="H99" s="57">
        <f t="shared" si="18"/>
        <v>8.2106215999999996</v>
      </c>
      <c r="I99" s="57">
        <f t="shared" si="18"/>
        <v>0.36556919999999993</v>
      </c>
      <c r="J99" s="57">
        <f t="shared" si="18"/>
        <v>0.1068967200000001</v>
      </c>
      <c r="K99" s="25"/>
      <c r="L99" s="57">
        <f t="shared" si="19"/>
        <v>17.824448934859358</v>
      </c>
      <c r="M99" s="57">
        <f t="shared" si="20"/>
        <v>15.451329504631746</v>
      </c>
      <c r="N99" s="57">
        <f t="shared" si="21"/>
        <v>37.782017585336881</v>
      </c>
      <c r="O99" s="75">
        <f t="shared" si="22"/>
        <v>0.70291192982449036</v>
      </c>
      <c r="P99" s="75">
        <f t="shared" si="24"/>
        <v>0.51279926625790251</v>
      </c>
      <c r="Q99" s="75">
        <f t="shared" si="25"/>
        <v>0.28293291958805028</v>
      </c>
      <c r="R99" s="37">
        <f t="shared" si="26"/>
        <v>12.575263036673778</v>
      </c>
      <c r="S99" s="37">
        <f t="shared" si="23"/>
        <v>13.478171632530511</v>
      </c>
      <c r="T99" s="25"/>
    </row>
    <row r="100" spans="1:20">
      <c r="A100" s="114">
        <f t="shared" si="27"/>
        <v>0.08</v>
      </c>
      <c r="B100" s="81">
        <f t="shared" si="18"/>
        <v>0.34002199999999988</v>
      </c>
      <c r="C100" s="57">
        <f t="shared" si="18"/>
        <v>2.6312992E-2</v>
      </c>
      <c r="D100" s="57">
        <f t="shared" si="18"/>
        <v>2.3987679999999996</v>
      </c>
      <c r="E100" s="57">
        <f t="shared" si="18"/>
        <v>33.225759999999994</v>
      </c>
      <c r="F100" s="57">
        <f t="shared" si="18"/>
        <v>311.30079999999992</v>
      </c>
      <c r="G100" s="57">
        <f t="shared" si="18"/>
        <v>1.8179871999999997</v>
      </c>
      <c r="H100" s="57">
        <f t="shared" si="18"/>
        <v>9.2817103999999997</v>
      </c>
      <c r="I100" s="57">
        <f t="shared" si="18"/>
        <v>0.38936479999999996</v>
      </c>
      <c r="J100" s="57">
        <f t="shared" si="18"/>
        <v>0.11316768000000012</v>
      </c>
      <c r="K100" s="25"/>
      <c r="L100" s="57">
        <f t="shared" si="19"/>
        <v>17.825236463755441</v>
      </c>
      <c r="M100" s="57">
        <f t="shared" si="20"/>
        <v>15.451411820086623</v>
      </c>
      <c r="N100" s="57">
        <f t="shared" si="21"/>
        <v>37.783499345975017</v>
      </c>
      <c r="O100" s="75">
        <f t="shared" si="22"/>
        <v>0.7029149305933039</v>
      </c>
      <c r="P100" s="75">
        <f t="shared" si="24"/>
        <v>0.51280066964550675</v>
      </c>
      <c r="Q100" s="75">
        <f t="shared" si="25"/>
        <v>0.28293317873426016</v>
      </c>
      <c r="R100" s="37">
        <f t="shared" si="26"/>
        <v>12.602664643763806</v>
      </c>
      <c r="S100" s="37">
        <f t="shared" si="23"/>
        <v>13.487343258509199</v>
      </c>
      <c r="T100" s="25"/>
    </row>
    <row r="101" spans="1:20">
      <c r="A101" s="114">
        <f>A100+0.01</f>
        <v>0.09</v>
      </c>
      <c r="B101" s="81">
        <f t="shared" si="18"/>
        <v>0.38193724999999978</v>
      </c>
      <c r="C101" s="57">
        <f t="shared" si="18"/>
        <v>2.7889615999999999E-2</v>
      </c>
      <c r="D101" s="57">
        <f t="shared" si="18"/>
        <v>2.6957139999999993</v>
      </c>
      <c r="E101" s="57">
        <f t="shared" si="18"/>
        <v>37.367979999999996</v>
      </c>
      <c r="F101" s="57">
        <f t="shared" si="18"/>
        <v>348.98839999999984</v>
      </c>
      <c r="G101" s="57">
        <f t="shared" si="18"/>
        <v>2.0114855999999994</v>
      </c>
      <c r="H101" s="57">
        <f t="shared" si="18"/>
        <v>10.3527992</v>
      </c>
      <c r="I101" s="57">
        <f t="shared" si="18"/>
        <v>0.41316039999999998</v>
      </c>
      <c r="J101" s="57">
        <f t="shared" si="18"/>
        <v>0.11943864000000012</v>
      </c>
      <c r="K101" s="25"/>
      <c r="L101" s="57">
        <f t="shared" si="19"/>
        <v>17.825850492379928</v>
      </c>
      <c r="M101" s="57">
        <f t="shared" si="20"/>
        <v>15.451476000646577</v>
      </c>
      <c r="N101" s="57">
        <f t="shared" si="21"/>
        <v>37.78465466033996</v>
      </c>
      <c r="O101" s="75">
        <f t="shared" si="22"/>
        <v>0.70291728325017611</v>
      </c>
      <c r="P101" s="75">
        <f t="shared" si="24"/>
        <v>0.51280178264734855</v>
      </c>
      <c r="Q101" s="75">
        <f t="shared" si="25"/>
        <v>0.28293340802988631</v>
      </c>
      <c r="R101" s="37">
        <f t="shared" si="26"/>
        <v>12.624396372808988</v>
      </c>
      <c r="S101" s="37">
        <f t="shared" si="23"/>
        <v>13.495458421464157</v>
      </c>
      <c r="T101" s="25"/>
    </row>
    <row r="102" spans="1:20" ht="14" thickBot="1">
      <c r="A102" s="115">
        <f t="shared" si="27"/>
        <v>9.9999999999999992E-2</v>
      </c>
      <c r="B102" s="81">
        <f t="shared" si="18"/>
        <v>0.4238524999999998</v>
      </c>
      <c r="C102" s="57">
        <f t="shared" si="18"/>
        <v>2.9466239999999998E-2</v>
      </c>
      <c r="D102" s="57">
        <f t="shared" si="18"/>
        <v>2.992659999999999</v>
      </c>
      <c r="E102" s="57">
        <f t="shared" si="18"/>
        <v>41.51019999999999</v>
      </c>
      <c r="F102" s="57">
        <f t="shared" si="18"/>
        <v>386.67599999999982</v>
      </c>
      <c r="G102" s="57">
        <f t="shared" si="18"/>
        <v>2.2049839999999996</v>
      </c>
      <c r="H102" s="57">
        <f t="shared" si="18"/>
        <v>11.423887999999998</v>
      </c>
      <c r="I102" s="57">
        <f t="shared" si="18"/>
        <v>0.4369559999999999</v>
      </c>
      <c r="J102" s="57">
        <f t="shared" si="18"/>
        <v>0.12570960000000014</v>
      </c>
      <c r="K102" s="25"/>
      <c r="L102" s="57">
        <f t="shared" si="19"/>
        <v>17.82634266730641</v>
      </c>
      <c r="M102" s="57">
        <f t="shared" si="20"/>
        <v>15.451527444603938</v>
      </c>
      <c r="N102" s="57">
        <f t="shared" si="21"/>
        <v>37.785580703100763</v>
      </c>
      <c r="O102" s="75">
        <f t="shared" si="22"/>
        <v>0.70291917730092246</v>
      </c>
      <c r="P102" s="75">
        <f t="shared" si="24"/>
        <v>0.51280268694199604</v>
      </c>
      <c r="Q102" s="75">
        <f t="shared" si="25"/>
        <v>0.28293361235170739</v>
      </c>
      <c r="R102" s="37">
        <f t="shared" si="26"/>
        <v>12.642053024864985</v>
      </c>
      <c r="S102" s="37">
        <f t="shared" si="23"/>
        <v>13.502689718896121</v>
      </c>
      <c r="T102" s="25"/>
    </row>
    <row r="103" spans="1:20">
      <c r="A103" s="95">
        <v>1</v>
      </c>
      <c r="B103" s="81">
        <f t="shared" si="18"/>
        <v>4.1962249999999983</v>
      </c>
      <c r="C103" s="57">
        <f t="shared" si="18"/>
        <v>0.17136240000000003</v>
      </c>
      <c r="D103" s="57">
        <f t="shared" si="18"/>
        <v>29.717799999999993</v>
      </c>
      <c r="E103" s="57">
        <f t="shared" si="18"/>
        <v>414.30999999999995</v>
      </c>
      <c r="F103" s="57">
        <f t="shared" si="18"/>
        <v>3778.5599999999986</v>
      </c>
      <c r="G103" s="57">
        <f t="shared" si="18"/>
        <v>19.619839999999996</v>
      </c>
      <c r="H103" s="57">
        <f t="shared" si="18"/>
        <v>107.82187999999999</v>
      </c>
      <c r="I103" s="57">
        <f t="shared" si="18"/>
        <v>2.5785599999999995</v>
      </c>
      <c r="J103" s="57">
        <f t="shared" si="18"/>
        <v>0.69009600000000137</v>
      </c>
      <c r="K103" s="25"/>
      <c r="L103" s="57">
        <f t="shared" si="19"/>
        <v>17.83036075261488</v>
      </c>
      <c r="M103" s="57">
        <f t="shared" si="20"/>
        <v>15.451947429853421</v>
      </c>
      <c r="N103" s="57">
        <f t="shared" si="21"/>
        <v>37.793140858265069</v>
      </c>
      <c r="O103" s="75">
        <f t="shared" si="22"/>
        <v>0.70293492143534275</v>
      </c>
      <c r="P103" s="75">
        <f t="shared" si="24"/>
        <v>0.51281050148094776</v>
      </c>
      <c r="Q103" s="75">
        <f t="shared" si="25"/>
        <v>0.2829365587992122</v>
      </c>
      <c r="R103" s="37">
        <f t="shared" si="26"/>
        <v>12.794634482264922</v>
      </c>
      <c r="S103" s="37">
        <f t="shared" si="23"/>
        <v>13.606969517148126</v>
      </c>
      <c r="T103" s="25"/>
    </row>
    <row r="104" spans="1:20">
      <c r="A104" s="108"/>
      <c r="B104" s="57"/>
      <c r="C104" s="57"/>
      <c r="D104" s="57"/>
      <c r="E104" s="57"/>
      <c r="F104" s="57"/>
      <c r="G104" s="57"/>
      <c r="H104" s="57"/>
      <c r="I104" s="57"/>
      <c r="J104" s="57"/>
      <c r="K104" s="25"/>
      <c r="L104" s="58"/>
      <c r="M104" s="58"/>
      <c r="N104" s="58"/>
      <c r="O104" s="58"/>
      <c r="P104" s="58"/>
      <c r="Q104" s="58"/>
      <c r="R104" s="58"/>
      <c r="S104" s="58"/>
      <c r="T104" s="25"/>
    </row>
    <row r="105" spans="1:20">
      <c r="A105" s="215"/>
      <c r="B105" s="216" t="s">
        <v>33</v>
      </c>
      <c r="C105" s="214"/>
      <c r="D105" s="214"/>
      <c r="E105" s="214"/>
      <c r="F105" s="214"/>
      <c r="G105" s="214"/>
      <c r="H105" s="214"/>
      <c r="I105" s="214"/>
      <c r="J105" s="214"/>
      <c r="K105" s="217"/>
      <c r="L105" s="218"/>
      <c r="M105" s="218"/>
      <c r="N105" s="218"/>
      <c r="O105" s="218"/>
      <c r="P105" s="218"/>
      <c r="Q105" s="218"/>
      <c r="R105" s="218"/>
      <c r="S105" s="218"/>
      <c r="T105" s="217"/>
    </row>
    <row r="106" spans="1:20" ht="19" thickBot="1">
      <c r="A106" s="213" t="s">
        <v>171</v>
      </c>
      <c r="B106" s="211" t="s">
        <v>23</v>
      </c>
      <c r="C106" s="211" t="s">
        <v>22</v>
      </c>
      <c r="D106" s="211" t="s">
        <v>21</v>
      </c>
      <c r="E106" s="211" t="s">
        <v>15</v>
      </c>
      <c r="F106" s="211" t="s">
        <v>16</v>
      </c>
      <c r="G106" s="211" t="s">
        <v>19</v>
      </c>
      <c r="H106" s="211" t="s">
        <v>18</v>
      </c>
      <c r="I106" s="211" t="s">
        <v>17</v>
      </c>
      <c r="J106" s="211" t="s">
        <v>20</v>
      </c>
      <c r="K106" s="217"/>
      <c r="L106" s="206" t="s">
        <v>159</v>
      </c>
      <c r="M106" s="206" t="s">
        <v>160</v>
      </c>
      <c r="N106" s="206" t="s">
        <v>161</v>
      </c>
      <c r="O106" s="206" t="s">
        <v>162</v>
      </c>
      <c r="P106" s="206" t="s">
        <v>163</v>
      </c>
      <c r="Q106" s="206" t="s">
        <v>164</v>
      </c>
      <c r="R106" s="209" t="s">
        <v>165</v>
      </c>
      <c r="S106" s="209" t="s">
        <v>166</v>
      </c>
      <c r="T106" s="212" t="s">
        <v>84</v>
      </c>
    </row>
    <row r="107" spans="1:20">
      <c r="A107" s="113">
        <v>0</v>
      </c>
      <c r="B107" s="81">
        <f t="shared" ref="B107:J121" si="28">$A107*B$73+(1-$A107)*B$5</f>
        <v>4.7000000000000002E-3</v>
      </c>
      <c r="C107" s="57">
        <f t="shared" si="28"/>
        <v>1.3699999999999999E-2</v>
      </c>
      <c r="D107" s="57">
        <f t="shared" si="28"/>
        <v>2.3199999999999998E-2</v>
      </c>
      <c r="E107" s="57">
        <f t="shared" si="28"/>
        <v>8.7999999999999995E-2</v>
      </c>
      <c r="F107" s="57">
        <f t="shared" si="28"/>
        <v>9.8000000000000007</v>
      </c>
      <c r="G107" s="57">
        <f t="shared" si="28"/>
        <v>0.27</v>
      </c>
      <c r="H107" s="57">
        <f t="shared" si="28"/>
        <v>0.71299999999999997</v>
      </c>
      <c r="I107" s="57">
        <f t="shared" si="28"/>
        <v>0.19900000000000001</v>
      </c>
      <c r="J107" s="57">
        <f t="shared" si="28"/>
        <v>6.3E-2</v>
      </c>
      <c r="K107" s="25"/>
      <c r="L107" s="57">
        <f t="shared" ref="L107:L121" si="29">$A107*B$82*(D$73/D107)+B$80*(1-$A107)*(D$5/D107)</f>
        <v>17.254462132919496</v>
      </c>
      <c r="M107" s="57">
        <f t="shared" ref="M107:M121" si="30">$A107*C$82*(D$73/D107)+C$80*(1-$A107)*(D$5/D107)</f>
        <v>15.391752360087407</v>
      </c>
      <c r="N107" s="57">
        <f t="shared" ref="N107:N121" si="31">$A107*D$82*(D$73/D107)+D$80*(1-$A107)*(D$5/D107)</f>
        <v>36.709569308743518</v>
      </c>
      <c r="O107" s="75">
        <f t="shared" ref="O107:O121" si="32">$A107*E$82*(F$73/F107)+E$80*(1-$A107)*(F$5/F107)</f>
        <v>0.70224468573000109</v>
      </c>
      <c r="P107" s="75">
        <f t="shared" ref="P107:P121" si="33">$A107*F$82*(H$73/H107)+F$80*(1-$A107)*(H$5/H107)</f>
        <v>0.5126713828620334</v>
      </c>
      <c r="Q107" s="75">
        <f t="shared" ref="Q107:Q121" si="34">$A107*G$82*(I$73/I107)+G$80*(1-$A107)*(I$5/I107)</f>
        <v>0.28292937025696813</v>
      </c>
      <c r="R107" s="37">
        <f>((P107/$V$12)-1)*10000</f>
        <v>10.078297439635175</v>
      </c>
      <c r="S107" s="37">
        <f t="shared" ref="S107:S121" si="35">((Q107/$X$12)-1)*10000</f>
        <v>13.352554757100066</v>
      </c>
      <c r="T107" s="25"/>
    </row>
    <row r="108" spans="1:20">
      <c r="A108" s="114">
        <f>A107+0.001</f>
        <v>1E-3</v>
      </c>
      <c r="B108" s="81">
        <f t="shared" si="28"/>
        <v>8.8915249999999991E-3</v>
      </c>
      <c r="C108" s="57">
        <f t="shared" si="28"/>
        <v>1.3857662399999998E-2</v>
      </c>
      <c r="D108" s="57">
        <f t="shared" si="28"/>
        <v>5.2894599999999993E-2</v>
      </c>
      <c r="E108" s="57">
        <f t="shared" si="28"/>
        <v>0.50222199999999995</v>
      </c>
      <c r="F108" s="57">
        <f t="shared" si="28"/>
        <v>13.568759999999999</v>
      </c>
      <c r="G108" s="57">
        <f t="shared" si="28"/>
        <v>0.28934984000000002</v>
      </c>
      <c r="H108" s="57">
        <f t="shared" si="28"/>
        <v>0.82010888000000004</v>
      </c>
      <c r="I108" s="57">
        <f t="shared" si="28"/>
        <v>0.20137956000000001</v>
      </c>
      <c r="J108" s="57">
        <f t="shared" si="28"/>
        <v>6.3627096000000008E-2</v>
      </c>
      <c r="K108" s="25"/>
      <c r="L108" s="57">
        <f t="shared" si="29"/>
        <v>17.578019547105132</v>
      </c>
      <c r="M108" s="57">
        <f t="shared" si="30"/>
        <v>15.425571786726277</v>
      </c>
      <c r="N108" s="57">
        <f t="shared" si="31"/>
        <v>37.318352863102028</v>
      </c>
      <c r="O108" s="75">
        <f t="shared" si="32"/>
        <v>0.70243689909561269</v>
      </c>
      <c r="P108" s="75">
        <f t="shared" si="33"/>
        <v>0.51268967315421299</v>
      </c>
      <c r="Q108" s="75">
        <f t="shared" si="34"/>
        <v>0.28292946230249388</v>
      </c>
      <c r="R108" s="37">
        <f t="shared" ref="R108:R121" si="36">((P108/$V$12)-1)*10000</f>
        <v>10.435421443277804</v>
      </c>
      <c r="S108" s="37">
        <f t="shared" si="35"/>
        <v>13.355812405111411</v>
      </c>
      <c r="T108" s="25"/>
    </row>
    <row r="109" spans="1:20">
      <c r="A109" s="114">
        <f>A108+0.001</f>
        <v>2E-3</v>
      </c>
      <c r="B109" s="81">
        <f t="shared" si="28"/>
        <v>1.3083049999999999E-2</v>
      </c>
      <c r="C109" s="57">
        <f t="shared" si="28"/>
        <v>1.4015324799999998E-2</v>
      </c>
      <c r="D109" s="57">
        <f t="shared" si="28"/>
        <v>8.2589199999999988E-2</v>
      </c>
      <c r="E109" s="57">
        <f t="shared" si="28"/>
        <v>0.91644399999999993</v>
      </c>
      <c r="F109" s="57">
        <f t="shared" si="28"/>
        <v>17.337519999999998</v>
      </c>
      <c r="G109" s="57">
        <f t="shared" si="28"/>
        <v>0.30869968000000003</v>
      </c>
      <c r="H109" s="57">
        <f t="shared" si="28"/>
        <v>0.92721775999999989</v>
      </c>
      <c r="I109" s="57">
        <f t="shared" si="28"/>
        <v>0.20375911999999999</v>
      </c>
      <c r="J109" s="57">
        <f t="shared" si="28"/>
        <v>6.4254192000000002E-2</v>
      </c>
      <c r="K109" s="25"/>
      <c r="L109" s="57">
        <f t="shared" si="29"/>
        <v>17.668909542517447</v>
      </c>
      <c r="M109" s="57">
        <f t="shared" si="30"/>
        <v>15.43507194774033</v>
      </c>
      <c r="N109" s="57">
        <f t="shared" si="31"/>
        <v>37.489365277087359</v>
      </c>
      <c r="O109" s="75">
        <f t="shared" si="32"/>
        <v>0.70254554733267272</v>
      </c>
      <c r="P109" s="75">
        <f t="shared" si="33"/>
        <v>0.51270373778809597</v>
      </c>
      <c r="Q109" s="75">
        <f t="shared" si="34"/>
        <v>0.28292955219814936</v>
      </c>
      <c r="R109" s="37">
        <f t="shared" si="36"/>
        <v>10.710038071199968</v>
      </c>
      <c r="S109" s="37">
        <f t="shared" si="35"/>
        <v>13.358993965550958</v>
      </c>
      <c r="T109" s="25"/>
    </row>
    <row r="110" spans="1:20">
      <c r="A110" s="114">
        <f>A108+0.004</f>
        <v>5.0000000000000001E-3</v>
      </c>
      <c r="B110" s="81">
        <f t="shared" si="28"/>
        <v>2.5657624999999993E-2</v>
      </c>
      <c r="C110" s="57">
        <f t="shared" si="28"/>
        <v>1.4488311999999998E-2</v>
      </c>
      <c r="D110" s="57">
        <f t="shared" si="28"/>
        <v>0.17167299999999996</v>
      </c>
      <c r="E110" s="57">
        <f t="shared" si="28"/>
        <v>2.1591099999999996</v>
      </c>
      <c r="F110" s="57">
        <f t="shared" si="28"/>
        <v>28.643799999999995</v>
      </c>
      <c r="G110" s="57">
        <f t="shared" si="28"/>
        <v>0.3667492</v>
      </c>
      <c r="H110" s="57">
        <f t="shared" si="28"/>
        <v>1.2485443999999999</v>
      </c>
      <c r="I110" s="57">
        <f t="shared" si="28"/>
        <v>0.21089780000000002</v>
      </c>
      <c r="J110" s="57">
        <f t="shared" si="28"/>
        <v>6.613548000000001E-2</v>
      </c>
      <c r="K110" s="25"/>
      <c r="L110" s="57">
        <f t="shared" si="29"/>
        <v>17.752922578079293</v>
      </c>
      <c r="M110" s="57">
        <f t="shared" si="30"/>
        <v>15.443853303284429</v>
      </c>
      <c r="N110" s="57">
        <f t="shared" si="31"/>
        <v>37.647438472629851</v>
      </c>
      <c r="O110" s="75">
        <f t="shared" si="32"/>
        <v>0.7026999495264904</v>
      </c>
      <c r="P110" s="75">
        <f t="shared" si="33"/>
        <v>0.51273145293657119</v>
      </c>
      <c r="Q110" s="75">
        <f t="shared" si="34"/>
        <v>0.28292980971360276</v>
      </c>
      <c r="R110" s="37">
        <f t="shared" si="36"/>
        <v>11.251185510936512</v>
      </c>
      <c r="S110" s="37">
        <f t="shared" si="35"/>
        <v>13.368107876279289</v>
      </c>
      <c r="T110" s="25"/>
    </row>
    <row r="111" spans="1:20">
      <c r="A111" s="114">
        <v>0.01</v>
      </c>
      <c r="B111" s="81">
        <f t="shared" si="28"/>
        <v>4.6615249999999983E-2</v>
      </c>
      <c r="C111" s="57">
        <f t="shared" si="28"/>
        <v>1.5276623999999999E-2</v>
      </c>
      <c r="D111" s="57">
        <f t="shared" si="28"/>
        <v>0.32014599999999993</v>
      </c>
      <c r="E111" s="57">
        <f t="shared" si="28"/>
        <v>4.2302199999999992</v>
      </c>
      <c r="F111" s="57">
        <f t="shared" si="28"/>
        <v>47.487599999999986</v>
      </c>
      <c r="G111" s="57">
        <f t="shared" si="28"/>
        <v>0.46349839999999998</v>
      </c>
      <c r="H111" s="57">
        <f t="shared" si="28"/>
        <v>1.7840887999999999</v>
      </c>
      <c r="I111" s="57">
        <f t="shared" si="28"/>
        <v>0.22279560000000001</v>
      </c>
      <c r="J111" s="57">
        <f t="shared" si="28"/>
        <v>6.927096000000002E-2</v>
      </c>
      <c r="K111" s="57"/>
      <c r="L111" s="57">
        <f t="shared" si="29"/>
        <v>17.789044479735743</v>
      </c>
      <c r="M111" s="57">
        <f t="shared" si="30"/>
        <v>15.447628899050644</v>
      </c>
      <c r="N111" s="57">
        <f t="shared" si="31"/>
        <v>37.715402978205937</v>
      </c>
      <c r="O111" s="75">
        <f t="shared" si="32"/>
        <v>0.7027939021626648</v>
      </c>
      <c r="P111" s="75">
        <f t="shared" si="33"/>
        <v>0.51275545956849744</v>
      </c>
      <c r="Q111" s="75">
        <f t="shared" si="34"/>
        <v>0.28293020223423737</v>
      </c>
      <c r="R111" s="37">
        <f t="shared" si="36"/>
        <v>11.719922938600025</v>
      </c>
      <c r="S111" s="37">
        <f t="shared" si="35"/>
        <v>13.381999850434756</v>
      </c>
      <c r="T111" s="25"/>
    </row>
    <row r="112" spans="1:20">
      <c r="A112" s="114">
        <f>A111+0.01</f>
        <v>0.02</v>
      </c>
      <c r="B112" s="81">
        <f t="shared" si="28"/>
        <v>8.853049999999997E-2</v>
      </c>
      <c r="C112" s="57">
        <f t="shared" si="28"/>
        <v>1.6853248000000001E-2</v>
      </c>
      <c r="D112" s="57">
        <f t="shared" si="28"/>
        <v>0.61709199999999986</v>
      </c>
      <c r="E112" s="57">
        <f t="shared" si="28"/>
        <v>8.3724399999999992</v>
      </c>
      <c r="F112" s="57">
        <f t="shared" si="28"/>
        <v>85.175199999999975</v>
      </c>
      <c r="G112" s="57">
        <f t="shared" si="28"/>
        <v>0.65699679999999994</v>
      </c>
      <c r="H112" s="57">
        <f t="shared" si="28"/>
        <v>2.8551775999999998</v>
      </c>
      <c r="I112" s="57">
        <f t="shared" si="28"/>
        <v>0.24659119999999998</v>
      </c>
      <c r="J112" s="57">
        <f t="shared" si="28"/>
        <v>7.5541920000000026E-2</v>
      </c>
      <c r="K112" s="57"/>
      <c r="L112" s="57">
        <f t="shared" si="29"/>
        <v>17.809142472330262</v>
      </c>
      <c r="M112" s="57">
        <f t="shared" si="30"/>
        <v>15.449729616130021</v>
      </c>
      <c r="N112" s="57">
        <f t="shared" si="31"/>
        <v>37.753217989795012</v>
      </c>
      <c r="O112" s="75">
        <f t="shared" si="32"/>
        <v>0.70285709333850122</v>
      </c>
      <c r="P112" s="75">
        <f t="shared" si="33"/>
        <v>0.51277645535233551</v>
      </c>
      <c r="Q112" s="75">
        <f t="shared" si="34"/>
        <v>0.28293087364293562</v>
      </c>
      <c r="R112" s="37">
        <f t="shared" si="36"/>
        <v>12.129872561617017</v>
      </c>
      <c r="S112" s="37">
        <f t="shared" si="35"/>
        <v>13.405762148417377</v>
      </c>
      <c r="T112" s="25"/>
    </row>
    <row r="113" spans="1:22">
      <c r="A113" s="114">
        <f t="shared" ref="A113:A118" si="37">A112+0.01</f>
        <v>0.03</v>
      </c>
      <c r="B113" s="81">
        <f t="shared" si="28"/>
        <v>0.13044574999999994</v>
      </c>
      <c r="C113" s="57">
        <f t="shared" si="28"/>
        <v>1.8429872E-2</v>
      </c>
      <c r="D113" s="57">
        <f t="shared" si="28"/>
        <v>0.91403799999999968</v>
      </c>
      <c r="E113" s="57">
        <f t="shared" si="28"/>
        <v>12.514659999999997</v>
      </c>
      <c r="F113" s="57">
        <f t="shared" si="28"/>
        <v>122.86279999999995</v>
      </c>
      <c r="G113" s="57">
        <f t="shared" si="28"/>
        <v>0.8504951999999999</v>
      </c>
      <c r="H113" s="57">
        <f t="shared" si="28"/>
        <v>3.9262663999999994</v>
      </c>
      <c r="I113" s="57">
        <f t="shared" si="28"/>
        <v>0.27038679999999998</v>
      </c>
      <c r="J113" s="57">
        <f t="shared" si="28"/>
        <v>8.1812880000000032E-2</v>
      </c>
      <c r="K113" s="57"/>
      <c r="L113" s="57">
        <f t="shared" si="29"/>
        <v>17.81618188637778</v>
      </c>
      <c r="M113" s="57">
        <f t="shared" si="30"/>
        <v>15.450465401918025</v>
      </c>
      <c r="N113" s="57">
        <f t="shared" si="31"/>
        <v>37.766462870970855</v>
      </c>
      <c r="O113" s="75">
        <f t="shared" si="32"/>
        <v>0.70288151730801551</v>
      </c>
      <c r="P113" s="75">
        <f t="shared" si="33"/>
        <v>0.51278599580093909</v>
      </c>
      <c r="Q113" s="75">
        <f t="shared" si="34"/>
        <v>0.28293142687594758</v>
      </c>
      <c r="R113" s="37">
        <f t="shared" si="36"/>
        <v>12.316152975750949</v>
      </c>
      <c r="S113" s="37">
        <f t="shared" si="35"/>
        <v>13.425342007475916</v>
      </c>
      <c r="T113" s="25"/>
    </row>
    <row r="114" spans="1:22">
      <c r="A114" s="114">
        <f t="shared" si="37"/>
        <v>0.04</v>
      </c>
      <c r="B114" s="81">
        <f t="shared" si="28"/>
        <v>0.17236099999999993</v>
      </c>
      <c r="C114" s="57">
        <f t="shared" si="28"/>
        <v>2.0006495999999999E-2</v>
      </c>
      <c r="D114" s="57">
        <f t="shared" si="28"/>
        <v>1.2109839999999998</v>
      </c>
      <c r="E114" s="57">
        <f t="shared" si="28"/>
        <v>16.656879999999997</v>
      </c>
      <c r="F114" s="57">
        <f t="shared" si="28"/>
        <v>160.55039999999994</v>
      </c>
      <c r="G114" s="57">
        <f t="shared" si="28"/>
        <v>1.0439935999999999</v>
      </c>
      <c r="H114" s="57">
        <f t="shared" si="28"/>
        <v>4.9973551999999994</v>
      </c>
      <c r="I114" s="57">
        <f t="shared" si="28"/>
        <v>0.29418240000000001</v>
      </c>
      <c r="J114" s="57">
        <f t="shared" si="28"/>
        <v>8.8083840000000052E-2</v>
      </c>
      <c r="K114" s="57"/>
      <c r="L114" s="57">
        <f t="shared" si="29"/>
        <v>17.819769023857226</v>
      </c>
      <c r="M114" s="57">
        <f t="shared" si="30"/>
        <v>15.450840342894526</v>
      </c>
      <c r="N114" s="57">
        <f t="shared" si="31"/>
        <v>37.773212184103436</v>
      </c>
      <c r="O114" s="75">
        <f t="shared" si="32"/>
        <v>0.70289447471259492</v>
      </c>
      <c r="P114" s="75">
        <f t="shared" si="33"/>
        <v>0.51279144661923326</v>
      </c>
      <c r="Q114" s="75">
        <f t="shared" si="34"/>
        <v>0.28293189060998569</v>
      </c>
      <c r="R114" s="37">
        <f t="shared" si="36"/>
        <v>12.422582005600091</v>
      </c>
      <c r="S114" s="37">
        <f t="shared" si="35"/>
        <v>13.441754345338008</v>
      </c>
      <c r="T114" s="25"/>
    </row>
    <row r="115" spans="1:22">
      <c r="A115" s="114">
        <f t="shared" si="37"/>
        <v>0.05</v>
      </c>
      <c r="B115" s="81">
        <f t="shared" si="28"/>
        <v>0.21427624999999992</v>
      </c>
      <c r="C115" s="57">
        <f t="shared" si="28"/>
        <v>2.1583120000000001E-2</v>
      </c>
      <c r="D115" s="57">
        <f t="shared" si="28"/>
        <v>1.5079299999999998</v>
      </c>
      <c r="E115" s="57">
        <f t="shared" si="28"/>
        <v>20.799099999999999</v>
      </c>
      <c r="F115" s="57">
        <f t="shared" si="28"/>
        <v>198.23799999999994</v>
      </c>
      <c r="G115" s="57">
        <f t="shared" si="28"/>
        <v>1.2374919999999998</v>
      </c>
      <c r="H115" s="57">
        <f t="shared" si="28"/>
        <v>6.0684439999999995</v>
      </c>
      <c r="I115" s="57">
        <f t="shared" si="28"/>
        <v>0.31797799999999998</v>
      </c>
      <c r="J115" s="57">
        <f t="shared" si="28"/>
        <v>9.4354800000000072E-2</v>
      </c>
      <c r="K115" s="57"/>
      <c r="L115" s="57">
        <f t="shared" si="29"/>
        <v>17.821943382061814</v>
      </c>
      <c r="M115" s="57">
        <f t="shared" si="30"/>
        <v>15.451067614916624</v>
      </c>
      <c r="N115" s="57">
        <f t="shared" si="31"/>
        <v>37.777303308145726</v>
      </c>
      <c r="O115" s="75">
        <f t="shared" si="32"/>
        <v>0.70290250537779209</v>
      </c>
      <c r="P115" s="75">
        <f t="shared" si="33"/>
        <v>0.51279497328351842</v>
      </c>
      <c r="Q115" s="75">
        <f t="shared" si="34"/>
        <v>0.28293228493777761</v>
      </c>
      <c r="R115" s="37">
        <f t="shared" si="36"/>
        <v>12.491441292081795</v>
      </c>
      <c r="S115" s="37">
        <f t="shared" si="35"/>
        <v>13.455710277869848</v>
      </c>
      <c r="T115" s="25"/>
    </row>
    <row r="116" spans="1:22">
      <c r="A116" s="114">
        <f t="shared" si="37"/>
        <v>6.0000000000000005E-2</v>
      </c>
      <c r="B116" s="81">
        <f t="shared" si="28"/>
        <v>0.25619149999999991</v>
      </c>
      <c r="C116" s="57">
        <f t="shared" si="28"/>
        <v>2.3159744000000003E-2</v>
      </c>
      <c r="D116" s="57">
        <f t="shared" si="28"/>
        <v>1.8048759999999997</v>
      </c>
      <c r="E116" s="57">
        <f t="shared" si="28"/>
        <v>24.941319999999997</v>
      </c>
      <c r="F116" s="57">
        <f t="shared" si="28"/>
        <v>235.92559999999992</v>
      </c>
      <c r="G116" s="57">
        <f t="shared" si="28"/>
        <v>1.4309904</v>
      </c>
      <c r="H116" s="57">
        <f t="shared" si="28"/>
        <v>7.1395327999999996</v>
      </c>
      <c r="I116" s="57">
        <f t="shared" si="28"/>
        <v>0.34177360000000001</v>
      </c>
      <c r="J116" s="57">
        <f t="shared" si="28"/>
        <v>0.10062576000000008</v>
      </c>
      <c r="K116" s="57"/>
      <c r="L116" s="57">
        <f t="shared" si="29"/>
        <v>17.823402270648078</v>
      </c>
      <c r="M116" s="57">
        <f t="shared" si="30"/>
        <v>15.451220103388081</v>
      </c>
      <c r="N116" s="57">
        <f t="shared" si="31"/>
        <v>37.780048253370346</v>
      </c>
      <c r="O116" s="75">
        <f t="shared" si="32"/>
        <v>0.70290797034856967</v>
      </c>
      <c r="P116" s="75">
        <f t="shared" si="33"/>
        <v>0.51279744179155629</v>
      </c>
      <c r="Q116" s="75">
        <f t="shared" si="34"/>
        <v>0.28293262435631733</v>
      </c>
      <c r="R116" s="37">
        <f t="shared" si="36"/>
        <v>12.539639727888741</v>
      </c>
      <c r="S116" s="37">
        <f t="shared" si="35"/>
        <v>13.467722878395261</v>
      </c>
      <c r="T116" s="25"/>
    </row>
    <row r="117" spans="1:22">
      <c r="A117" s="114">
        <f t="shared" si="37"/>
        <v>7.0000000000000007E-2</v>
      </c>
      <c r="B117" s="81">
        <f t="shared" si="28"/>
        <v>0.29810674999999992</v>
      </c>
      <c r="C117" s="57">
        <f t="shared" si="28"/>
        <v>2.4736368000000002E-2</v>
      </c>
      <c r="D117" s="57">
        <f t="shared" si="28"/>
        <v>2.1018219999999999</v>
      </c>
      <c r="E117" s="57">
        <f t="shared" si="28"/>
        <v>29.083539999999999</v>
      </c>
      <c r="F117" s="57">
        <f t="shared" si="28"/>
        <v>273.61319999999989</v>
      </c>
      <c r="G117" s="57">
        <f t="shared" si="28"/>
        <v>1.6244888</v>
      </c>
      <c r="H117" s="57">
        <f t="shared" si="28"/>
        <v>8.2106215999999996</v>
      </c>
      <c r="I117" s="57">
        <f t="shared" si="28"/>
        <v>0.36556919999999993</v>
      </c>
      <c r="J117" s="57">
        <f t="shared" si="28"/>
        <v>0.1068967200000001</v>
      </c>
      <c r="K117" s="57"/>
      <c r="L117" s="57">
        <f t="shared" si="29"/>
        <v>17.824448934859358</v>
      </c>
      <c r="M117" s="57">
        <f t="shared" si="30"/>
        <v>15.451329504631746</v>
      </c>
      <c r="N117" s="57">
        <f t="shared" si="31"/>
        <v>37.782017585336881</v>
      </c>
      <c r="O117" s="75">
        <f t="shared" si="32"/>
        <v>0.70291192982449036</v>
      </c>
      <c r="P117" s="75">
        <f t="shared" si="33"/>
        <v>0.51279926625790251</v>
      </c>
      <c r="Q117" s="75">
        <f t="shared" si="34"/>
        <v>0.28293291958805028</v>
      </c>
      <c r="R117" s="37">
        <f t="shared" si="36"/>
        <v>12.575263036673778</v>
      </c>
      <c r="S117" s="37">
        <f t="shared" si="35"/>
        <v>13.478171632530511</v>
      </c>
      <c r="T117" s="25"/>
    </row>
    <row r="118" spans="1:22">
      <c r="A118" s="114">
        <f t="shared" si="37"/>
        <v>0.08</v>
      </c>
      <c r="B118" s="81">
        <f t="shared" si="28"/>
        <v>0.34002199999999988</v>
      </c>
      <c r="C118" s="57">
        <f t="shared" si="28"/>
        <v>2.6312992E-2</v>
      </c>
      <c r="D118" s="57">
        <f t="shared" si="28"/>
        <v>2.3987679999999996</v>
      </c>
      <c r="E118" s="57">
        <f t="shared" si="28"/>
        <v>33.225759999999994</v>
      </c>
      <c r="F118" s="57">
        <f t="shared" si="28"/>
        <v>311.30079999999992</v>
      </c>
      <c r="G118" s="57">
        <f t="shared" si="28"/>
        <v>1.8179871999999997</v>
      </c>
      <c r="H118" s="57">
        <f t="shared" si="28"/>
        <v>9.2817103999999997</v>
      </c>
      <c r="I118" s="57">
        <f t="shared" si="28"/>
        <v>0.38936479999999996</v>
      </c>
      <c r="J118" s="57">
        <f t="shared" si="28"/>
        <v>0.11316768000000012</v>
      </c>
      <c r="K118" s="57"/>
      <c r="L118" s="57">
        <f t="shared" si="29"/>
        <v>17.825236463755441</v>
      </c>
      <c r="M118" s="57">
        <f t="shared" si="30"/>
        <v>15.451411820086623</v>
      </c>
      <c r="N118" s="57">
        <f t="shared" si="31"/>
        <v>37.783499345975017</v>
      </c>
      <c r="O118" s="75">
        <f t="shared" si="32"/>
        <v>0.7029149305933039</v>
      </c>
      <c r="P118" s="75">
        <f t="shared" si="33"/>
        <v>0.51280066964550675</v>
      </c>
      <c r="Q118" s="75">
        <f t="shared" si="34"/>
        <v>0.28293317873426016</v>
      </c>
      <c r="R118" s="37">
        <f t="shared" si="36"/>
        <v>12.602664643763806</v>
      </c>
      <c r="S118" s="37">
        <f t="shared" si="35"/>
        <v>13.487343258509199</v>
      </c>
      <c r="T118" s="25"/>
    </row>
    <row r="119" spans="1:22">
      <c r="A119" s="114">
        <f>A118+0.01</f>
        <v>0.09</v>
      </c>
      <c r="B119" s="81">
        <f t="shared" si="28"/>
        <v>0.38193724999999978</v>
      </c>
      <c r="C119" s="57">
        <f t="shared" si="28"/>
        <v>2.7889615999999999E-2</v>
      </c>
      <c r="D119" s="57">
        <f t="shared" si="28"/>
        <v>2.6957139999999993</v>
      </c>
      <c r="E119" s="57">
        <f t="shared" si="28"/>
        <v>37.367979999999996</v>
      </c>
      <c r="F119" s="57">
        <f t="shared" si="28"/>
        <v>348.98839999999984</v>
      </c>
      <c r="G119" s="57">
        <f t="shared" si="28"/>
        <v>2.0114855999999994</v>
      </c>
      <c r="H119" s="57">
        <f t="shared" si="28"/>
        <v>10.3527992</v>
      </c>
      <c r="I119" s="57">
        <f t="shared" si="28"/>
        <v>0.41316039999999998</v>
      </c>
      <c r="J119" s="57">
        <f t="shared" si="28"/>
        <v>0.11943864000000012</v>
      </c>
      <c r="K119" s="57"/>
      <c r="L119" s="57">
        <f t="shared" si="29"/>
        <v>17.825850492379928</v>
      </c>
      <c r="M119" s="57">
        <f t="shared" si="30"/>
        <v>15.451476000646577</v>
      </c>
      <c r="N119" s="57">
        <f t="shared" si="31"/>
        <v>37.78465466033996</v>
      </c>
      <c r="O119" s="75">
        <f t="shared" si="32"/>
        <v>0.70291728325017611</v>
      </c>
      <c r="P119" s="75">
        <f t="shared" si="33"/>
        <v>0.51280178264734855</v>
      </c>
      <c r="Q119" s="75">
        <f t="shared" si="34"/>
        <v>0.28293340802988631</v>
      </c>
      <c r="R119" s="37">
        <f t="shared" si="36"/>
        <v>12.624396372808988</v>
      </c>
      <c r="S119" s="37">
        <f t="shared" si="35"/>
        <v>13.495458421464157</v>
      </c>
      <c r="T119" s="25"/>
    </row>
    <row r="120" spans="1:22" ht="14" thickBot="1">
      <c r="A120" s="115">
        <f>A119+0.01</f>
        <v>9.9999999999999992E-2</v>
      </c>
      <c r="B120" s="81">
        <f t="shared" si="28"/>
        <v>0.4238524999999998</v>
      </c>
      <c r="C120" s="57">
        <f t="shared" si="28"/>
        <v>2.9466239999999998E-2</v>
      </c>
      <c r="D120" s="57">
        <f t="shared" si="28"/>
        <v>2.992659999999999</v>
      </c>
      <c r="E120" s="57">
        <f t="shared" si="28"/>
        <v>41.51019999999999</v>
      </c>
      <c r="F120" s="57">
        <f t="shared" si="28"/>
        <v>386.67599999999982</v>
      </c>
      <c r="G120" s="57">
        <f t="shared" si="28"/>
        <v>2.2049839999999996</v>
      </c>
      <c r="H120" s="57">
        <f t="shared" si="28"/>
        <v>11.423887999999998</v>
      </c>
      <c r="I120" s="57">
        <f t="shared" si="28"/>
        <v>0.4369559999999999</v>
      </c>
      <c r="J120" s="57">
        <f t="shared" si="28"/>
        <v>0.12570960000000014</v>
      </c>
      <c r="K120" s="57"/>
      <c r="L120" s="57">
        <f t="shared" si="29"/>
        <v>17.82634266730641</v>
      </c>
      <c r="M120" s="57">
        <f t="shared" si="30"/>
        <v>15.451527444603938</v>
      </c>
      <c r="N120" s="57">
        <f t="shared" si="31"/>
        <v>37.785580703100763</v>
      </c>
      <c r="O120" s="75">
        <f t="shared" si="32"/>
        <v>0.70291917730092246</v>
      </c>
      <c r="P120" s="75">
        <f t="shared" si="33"/>
        <v>0.51280268694199604</v>
      </c>
      <c r="Q120" s="75">
        <f t="shared" si="34"/>
        <v>0.28293361235170739</v>
      </c>
      <c r="R120" s="37">
        <f t="shared" si="36"/>
        <v>12.642053024864985</v>
      </c>
      <c r="S120" s="37">
        <f t="shared" si="35"/>
        <v>13.502689718896121</v>
      </c>
      <c r="T120" s="25"/>
    </row>
    <row r="121" spans="1:22">
      <c r="A121" s="95">
        <v>1</v>
      </c>
      <c r="B121" s="81">
        <f t="shared" si="28"/>
        <v>4.1962249999999983</v>
      </c>
      <c r="C121" s="57">
        <f t="shared" si="28"/>
        <v>0.17136240000000003</v>
      </c>
      <c r="D121" s="57">
        <f t="shared" si="28"/>
        <v>29.717799999999993</v>
      </c>
      <c r="E121" s="57">
        <f t="shared" si="28"/>
        <v>414.30999999999995</v>
      </c>
      <c r="F121" s="57">
        <f t="shared" si="28"/>
        <v>3778.5599999999986</v>
      </c>
      <c r="G121" s="57">
        <f t="shared" si="28"/>
        <v>19.619839999999996</v>
      </c>
      <c r="H121" s="57">
        <f t="shared" si="28"/>
        <v>107.82187999999999</v>
      </c>
      <c r="I121" s="57">
        <f t="shared" si="28"/>
        <v>2.5785599999999995</v>
      </c>
      <c r="J121" s="57">
        <f t="shared" si="28"/>
        <v>0.69009600000000137</v>
      </c>
      <c r="K121" s="57"/>
      <c r="L121" s="57">
        <f t="shared" si="29"/>
        <v>17.83036075261488</v>
      </c>
      <c r="M121" s="57">
        <f t="shared" si="30"/>
        <v>15.451947429853421</v>
      </c>
      <c r="N121" s="57">
        <f t="shared" si="31"/>
        <v>37.793140858265069</v>
      </c>
      <c r="O121" s="75">
        <f t="shared" si="32"/>
        <v>0.70293492143534275</v>
      </c>
      <c r="P121" s="75">
        <f t="shared" si="33"/>
        <v>0.51281050148094776</v>
      </c>
      <c r="Q121" s="75">
        <f t="shared" si="34"/>
        <v>0.2829365587992122</v>
      </c>
      <c r="R121" s="37">
        <f t="shared" si="36"/>
        <v>12.794634482264922</v>
      </c>
      <c r="S121" s="37">
        <f t="shared" si="35"/>
        <v>13.606969517148126</v>
      </c>
      <c r="T121" s="25"/>
    </row>
    <row r="122" spans="1:22">
      <c r="A122" s="95"/>
      <c r="B122" s="81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75"/>
      <c r="P122" s="75"/>
      <c r="Q122" s="75"/>
      <c r="R122" s="57"/>
      <c r="S122" s="57"/>
      <c r="T122" s="37"/>
      <c r="U122" s="37"/>
      <c r="V122" s="25"/>
    </row>
    <row r="123" spans="1:22">
      <c r="A123" s="83"/>
      <c r="D123" s="103" t="s">
        <v>137</v>
      </c>
      <c r="E123" s="123">
        <f>Melting_age</f>
        <v>201</v>
      </c>
      <c r="F123" s="116" t="s">
        <v>37</v>
      </c>
      <c r="G123" s="57"/>
      <c r="H123" s="57"/>
      <c r="I123" s="57"/>
      <c r="J123" s="57"/>
      <c r="K123" s="57"/>
      <c r="O123" s="181"/>
      <c r="P123" s="181"/>
      <c r="Q123" s="181"/>
      <c r="R123" s="182"/>
      <c r="S123" s="182"/>
      <c r="T123" s="37"/>
      <c r="U123" s="37"/>
      <c r="V123" s="25"/>
    </row>
    <row r="124" spans="1:22">
      <c r="A124" s="94"/>
      <c r="B124" s="81"/>
      <c r="C124" s="57"/>
      <c r="D124" s="57"/>
      <c r="E124" s="57"/>
      <c r="F124" s="57"/>
      <c r="G124" s="57"/>
      <c r="H124" s="57"/>
      <c r="I124" s="57"/>
      <c r="J124" s="57"/>
      <c r="K124" s="57"/>
      <c r="L124" s="103"/>
      <c r="M124" s="123"/>
      <c r="N124" s="116"/>
      <c r="O124" s="181"/>
      <c r="P124" s="181"/>
      <c r="Q124" s="181"/>
      <c r="R124" s="182"/>
      <c r="S124" s="182"/>
      <c r="T124" s="37"/>
      <c r="U124" s="37"/>
      <c r="V124" s="25"/>
    </row>
    <row r="125" spans="1:22">
      <c r="A125" s="94"/>
      <c r="B125" s="11" t="s">
        <v>138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160" t="s">
        <v>139</v>
      </c>
      <c r="M125" s="183"/>
      <c r="N125" s="183"/>
      <c r="O125" s="184"/>
      <c r="P125" s="184"/>
      <c r="Q125" s="184"/>
      <c r="R125" s="182"/>
      <c r="S125" s="182"/>
      <c r="T125" s="37"/>
      <c r="U125" s="37"/>
      <c r="V125" s="25"/>
    </row>
    <row r="126" spans="1:22" ht="18">
      <c r="A126" s="175" t="str">
        <f>A88</f>
        <v>Ffluid1 (aq)</v>
      </c>
      <c r="B126" s="185" t="s">
        <v>140</v>
      </c>
      <c r="C126" s="185" t="s">
        <v>141</v>
      </c>
      <c r="D126" s="185" t="s">
        <v>142</v>
      </c>
      <c r="E126" s="185" t="s">
        <v>143</v>
      </c>
      <c r="F126" s="185" t="s">
        <v>144</v>
      </c>
      <c r="G126" s="185" t="s">
        <v>145</v>
      </c>
      <c r="H126" s="186" t="s">
        <v>146</v>
      </c>
      <c r="I126" s="57"/>
      <c r="J126" s="57"/>
      <c r="K126" s="57"/>
      <c r="L126" s="187" t="s">
        <v>129</v>
      </c>
      <c r="M126" s="187" t="s">
        <v>130</v>
      </c>
      <c r="N126" s="187" t="s">
        <v>131</v>
      </c>
      <c r="O126" s="187" t="s">
        <v>132</v>
      </c>
      <c r="P126" s="187" t="s">
        <v>133</v>
      </c>
      <c r="Q126" s="187" t="s">
        <v>134</v>
      </c>
      <c r="R126" s="188" t="s">
        <v>147</v>
      </c>
      <c r="S126" s="188" t="s">
        <v>148</v>
      </c>
      <c r="T126" s="180" t="s">
        <v>85</v>
      </c>
      <c r="U126" s="37"/>
      <c r="V126" s="25"/>
    </row>
    <row r="127" spans="1:22">
      <c r="A127" s="82">
        <f t="shared" ref="A127:A141" si="38">A89</f>
        <v>0</v>
      </c>
      <c r="B127" s="126">
        <f>(B89/D89)*(0.992745*207.2019/(238.0289*0.01387))</f>
        <v>12.622203107225738</v>
      </c>
      <c r="C127" s="127">
        <f>B127/137.88</f>
        <v>9.1544844119710894E-2</v>
      </c>
      <c r="D127" s="127">
        <f>(C89/D89)*(1*207.2019/(0.01387*232.0381))</f>
        <v>38.018112721247327</v>
      </c>
      <c r="E127" s="127">
        <f>D127/B127</f>
        <v>3.0120029283543523</v>
      </c>
      <c r="F127" s="127">
        <f t="shared" ref="F127:F141" si="39">(E89/F89)*(87.62*0.2784/(85.4678*0.0986))</f>
        <v>2.5992594777878714E-2</v>
      </c>
      <c r="G127" s="128">
        <f t="shared" ref="G127:G141" si="40">(G89/H89)*(0.15*144.24/(150.36*0.238))</f>
        <v>0.22895067748396578</v>
      </c>
      <c r="H127" s="129">
        <f t="shared" ref="H127:H141" si="41">(J89/I89)*(0.0259*178.49/(0.18606*174.967))</f>
        <v>4.4956445331240859E-2</v>
      </c>
      <c r="I127" s="57"/>
      <c r="J127" s="57"/>
      <c r="K127" s="57"/>
      <c r="L127" s="37">
        <f>L89+(B127*(EXP($H$9*($E$77-$E$123)*1000000)-1))</f>
        <v>17.589688322972172</v>
      </c>
      <c r="M127" s="37">
        <f>M89+(C127*(EXP($H$10*($E$77-$E$123)*1000000)-1))</f>
        <v>15.408330676316353</v>
      </c>
      <c r="N127" s="37">
        <f>N89+(D127*(EXP($H$11*($E$77-$E$123)*1000000)-1))</f>
        <v>37.028814251486352</v>
      </c>
      <c r="O127" s="202">
        <f>O89+(F127*(EXP($H$13*($E$77-$E$123)*1000000)-1))</f>
        <v>0.70230594880039665</v>
      </c>
      <c r="P127" s="202">
        <f>P89+(G127*(EXP($H$14*($E$77-$E$123)*1000000)-1))</f>
        <v>0.51292453404694993</v>
      </c>
      <c r="Q127" s="202">
        <f>Q89+(H127*(EXP($H$15*($E$77-$E$123)*1000000)-1))</f>
        <v>0.28307144219893121</v>
      </c>
      <c r="R127" s="37">
        <f>((P127/$V$16)-1)*10000</f>
        <v>10.779543408268033</v>
      </c>
      <c r="S127" s="37">
        <f>((Q127/$X$16)-1)*10000</f>
        <v>14.603082534840883</v>
      </c>
      <c r="T127" s="37"/>
      <c r="U127" s="37"/>
      <c r="V127" s="25"/>
    </row>
    <row r="128" spans="1:22">
      <c r="A128" s="82">
        <f>A90</f>
        <v>1E-3</v>
      </c>
      <c r="B128" s="130">
        <f t="shared" ref="B128:B141" si="42">(B90/D90)*(0.992745*207.2019/(238.0289*0.01387))</f>
        <v>10.473460710444671</v>
      </c>
      <c r="C128" s="38">
        <f t="shared" ref="C128:C141" si="43">B128/137.88</f>
        <v>7.5960695608098872E-2</v>
      </c>
      <c r="D128" s="38">
        <f t="shared" ref="D128:D141" si="44">(C90/D90)*(1*207.2019/(0.01387*232.0381))</f>
        <v>16.866952090300202</v>
      </c>
      <c r="E128" s="38">
        <f t="shared" ref="E128:E141" si="45">D128/B128</f>
        <v>1.6104468767882629</v>
      </c>
      <c r="F128" s="38">
        <f t="shared" si="39"/>
        <v>0.10713925252368718</v>
      </c>
      <c r="G128" s="37">
        <f t="shared" si="40"/>
        <v>0.21331403501585633</v>
      </c>
      <c r="H128" s="131">
        <f t="shared" si="41"/>
        <v>4.4867431251681453E-2</v>
      </c>
      <c r="I128" s="57"/>
      <c r="J128" s="57"/>
      <c r="K128" s="57"/>
      <c r="L128" s="37">
        <f t="shared" ref="L128:L140" si="46">L90+(B128*(EXP($H$9*($E$77-$E$123)*1000000)-1))</f>
        <v>17.856178462850899</v>
      </c>
      <c r="M128" s="37">
        <f t="shared" ref="M128:M140" si="47">M90+(C128*(EXP($H$10*($E$77-$E$123)*1000000)-1))</f>
        <v>15.439327891123757</v>
      </c>
      <c r="N128" s="37">
        <f t="shared" ref="N128:N140" si="48">N90+(D128*(EXP($H$11*($E$77-$E$123)*1000000)-1))</f>
        <v>37.459987698944488</v>
      </c>
      <c r="O128" s="202">
        <f t="shared" ref="O128:O140" si="49">O90+(F128*(EXP($H$13*($E$77-$E$123)*1000000)-1))</f>
        <v>0.70268942023194303</v>
      </c>
      <c r="P128" s="202">
        <f t="shared" ref="P128:P140" si="50">P90+(G128*(EXP($H$14*($E$77-$E$123)*1000000)-1))</f>
        <v>0.51292553487481163</v>
      </c>
      <c r="Q128" s="202">
        <f t="shared" ref="Q128:Q140" si="51">Q90+(H128*(EXP($H$15*($E$77-$E$123)*1000000)-1))</f>
        <v>0.28307125294100755</v>
      </c>
      <c r="R128" s="37">
        <f t="shared" ref="R128:R140" si="52">((P128/$V$16)-1)*10000</f>
        <v>10.799076626937243</v>
      </c>
      <c r="S128" s="37">
        <f t="shared" ref="S128:S140" si="53">((Q128/$X$16)-1)*10000</f>
        <v>14.596386900089797</v>
      </c>
      <c r="T128" s="37"/>
      <c r="U128" s="37"/>
      <c r="V128" s="25"/>
    </row>
    <row r="129" spans="1:22">
      <c r="A129" s="82">
        <f t="shared" si="38"/>
        <v>2E-3</v>
      </c>
      <c r="B129" s="130">
        <f t="shared" si="42"/>
        <v>9.8698609225145226</v>
      </c>
      <c r="C129" s="38">
        <f t="shared" si="43"/>
        <v>7.1582977389864536E-2</v>
      </c>
      <c r="D129" s="38">
        <f t="shared" si="44"/>
        <v>10.925413406816489</v>
      </c>
      <c r="E129" s="38">
        <f t="shared" si="45"/>
        <v>1.1069470474395546</v>
      </c>
      <c r="F129" s="38">
        <f t="shared" si="39"/>
        <v>0.15300724551858627</v>
      </c>
      <c r="G129" s="37">
        <f t="shared" si="40"/>
        <v>0.20128997059353332</v>
      </c>
      <c r="H129" s="131">
        <f t="shared" si="41"/>
        <v>4.4780496238258145E-2</v>
      </c>
      <c r="I129" s="57"/>
      <c r="J129" s="57"/>
      <c r="K129" s="57"/>
      <c r="L129" s="37">
        <f t="shared" si="46"/>
        <v>17.931037781565532</v>
      </c>
      <c r="M129" s="37">
        <f t="shared" si="47"/>
        <v>15.448035269128772</v>
      </c>
      <c r="N129" s="37">
        <f t="shared" si="48"/>
        <v>37.581107942039573</v>
      </c>
      <c r="O129" s="202">
        <f t="shared" si="49"/>
        <v>0.70290617672474898</v>
      </c>
      <c r="P129" s="202">
        <f t="shared" si="50"/>
        <v>0.51292630447856202</v>
      </c>
      <c r="Q129" s="202">
        <f t="shared" si="51"/>
        <v>0.28307106810350541</v>
      </c>
      <c r="R129" s="37">
        <f t="shared" si="52"/>
        <v>10.814097030464875</v>
      </c>
      <c r="S129" s="37">
        <f t="shared" si="53"/>
        <v>14.58984765259741</v>
      </c>
      <c r="T129" s="37"/>
      <c r="U129" s="37"/>
      <c r="V129" s="25"/>
    </row>
    <row r="130" spans="1:22">
      <c r="A130" s="82">
        <f t="shared" si="38"/>
        <v>5.0000000000000001E-3</v>
      </c>
      <c r="B130" s="130">
        <f t="shared" si="42"/>
        <v>9.3119309741362066</v>
      </c>
      <c r="C130" s="38">
        <f t="shared" si="43"/>
        <v>6.7536488063070832E-2</v>
      </c>
      <c r="D130" s="38">
        <f t="shared" si="44"/>
        <v>5.4334261045488441</v>
      </c>
      <c r="E130" s="38">
        <f t="shared" si="45"/>
        <v>0.5834908054666782</v>
      </c>
      <c r="F130" s="38">
        <f t="shared" si="39"/>
        <v>0.21819117243779398</v>
      </c>
      <c r="G130" s="37">
        <f t="shared" si="40"/>
        <v>0.17759587848169689</v>
      </c>
      <c r="H130" s="131">
        <f t="shared" si="41"/>
        <v>4.4531461851672116E-2</v>
      </c>
      <c r="I130" s="57"/>
      <c r="J130" s="57"/>
      <c r="K130" s="57"/>
      <c r="L130" s="37">
        <f>L92+(B130*(EXP($H$9*($E$77-$E$123)*1000000)-1))</f>
        <v>18.000233060724447</v>
      </c>
      <c r="M130" s="37">
        <f t="shared" si="47"/>
        <v>15.456083825569637</v>
      </c>
      <c r="N130" s="37">
        <f>N92+(D130*(EXP($H$11*($E$77-$E$123)*1000000)-1))</f>
        <v>37.693063930641465</v>
      </c>
      <c r="O130" s="202">
        <f t="shared" si="49"/>
        <v>0.70321421373408377</v>
      </c>
      <c r="P130" s="202">
        <f t="shared" si="50"/>
        <v>0.51292782102583834</v>
      </c>
      <c r="Q130" s="202">
        <f t="shared" si="51"/>
        <v>0.28307053861725845</v>
      </c>
      <c r="R130" s="37">
        <f t="shared" si="52"/>
        <v>10.843695576532308</v>
      </c>
      <c r="S130" s="37">
        <f t="shared" si="53"/>
        <v>14.571115298107618</v>
      </c>
      <c r="T130" s="37"/>
      <c r="U130" s="37"/>
      <c r="V130" s="25"/>
    </row>
    <row r="131" spans="1:22">
      <c r="A131" s="82">
        <f t="shared" si="38"/>
        <v>0.01</v>
      </c>
      <c r="B131" s="130">
        <f t="shared" si="42"/>
        <v>9.0720456921471229</v>
      </c>
      <c r="C131" s="38">
        <f t="shared" si="43"/>
        <v>6.5796676038200774E-2</v>
      </c>
      <c r="D131" s="38">
        <f t="shared" si="44"/>
        <v>3.0721136736348087</v>
      </c>
      <c r="E131" s="38">
        <f t="shared" si="45"/>
        <v>0.33863516321286485</v>
      </c>
      <c r="F131" s="38">
        <f t="shared" si="39"/>
        <v>0.25785512810342393</v>
      </c>
      <c r="G131" s="37">
        <f t="shared" si="40"/>
        <v>0.15707225225377722</v>
      </c>
      <c r="H131" s="131">
        <f>(J93/I93)*(0.0259*178.49/(0.18606*174.967))</f>
        <v>4.4151868572297755E-2</v>
      </c>
      <c r="I131" s="57"/>
      <c r="J131" s="57"/>
      <c r="K131" s="57"/>
      <c r="L131" s="37">
        <f t="shared" si="46"/>
        <v>18.029983980354402</v>
      </c>
      <c r="M131" s="37">
        <f t="shared" si="47"/>
        <v>15.459544350026215</v>
      </c>
      <c r="N131" s="37">
        <f t="shared" si="48"/>
        <v>37.741200070266501</v>
      </c>
      <c r="O131" s="202">
        <f t="shared" si="49"/>
        <v>0.70340165206219751</v>
      </c>
      <c r="P131" s="202">
        <f t="shared" si="50"/>
        <v>0.5129291346465209</v>
      </c>
      <c r="Q131" s="202">
        <f t="shared" si="51"/>
        <v>0.28306973154228537</v>
      </c>
      <c r="R131" s="37">
        <f t="shared" si="52"/>
        <v>10.869333591843056</v>
      </c>
      <c r="S131" s="37">
        <f t="shared" si="53"/>
        <v>14.542562310033702</v>
      </c>
      <c r="T131" s="37"/>
      <c r="U131" s="37"/>
      <c r="V131" s="25"/>
    </row>
    <row r="132" spans="1:22">
      <c r="A132" s="82">
        <f t="shared" si="38"/>
        <v>0.02</v>
      </c>
      <c r="B132" s="130">
        <f t="shared" si="42"/>
        <v>8.9385750718347161</v>
      </c>
      <c r="C132" s="38">
        <f t="shared" si="43"/>
        <v>6.4828655873474875E-2</v>
      </c>
      <c r="D132" s="38">
        <f t="shared" si="44"/>
        <v>1.758294700281386</v>
      </c>
      <c r="E132" s="38">
        <f t="shared" si="45"/>
        <v>0.19670861251943164</v>
      </c>
      <c r="F132" s="38">
        <f t="shared" si="39"/>
        <v>0.2845325274707321</v>
      </c>
      <c r="G132" s="37">
        <f t="shared" si="40"/>
        <v>0.13912264477957861</v>
      </c>
      <c r="H132" s="131">
        <f t="shared" si="41"/>
        <v>4.350257218609388E-2</v>
      </c>
      <c r="I132" s="57"/>
      <c r="J132" s="57"/>
      <c r="K132" s="57"/>
      <c r="L132" s="37">
        <f t="shared" si="46"/>
        <v>18.046537199730555</v>
      </c>
      <c r="M132" s="37">
        <f t="shared" si="47"/>
        <v>15.461469763465491</v>
      </c>
      <c r="N132" s="37">
        <f t="shared" si="48"/>
        <v>37.767982707208319</v>
      </c>
      <c r="O132" s="202">
        <f t="shared" si="49"/>
        <v>0.70352772035397315</v>
      </c>
      <c r="P132" s="202">
        <f t="shared" si="50"/>
        <v>0.51293028351638248</v>
      </c>
      <c r="Q132" s="202">
        <f t="shared" si="51"/>
        <v>0.2830683510361176</v>
      </c>
      <c r="R132" s="37">
        <f t="shared" si="52"/>
        <v>10.891756155291255</v>
      </c>
      <c r="S132" s="37">
        <f t="shared" si="53"/>
        <v>14.493722267336917</v>
      </c>
      <c r="T132" s="37"/>
      <c r="U132" s="37"/>
      <c r="V132" s="25"/>
    </row>
    <row r="133" spans="1:22">
      <c r="A133" s="82">
        <f t="shared" si="38"/>
        <v>0.03</v>
      </c>
      <c r="B133" s="130">
        <f>(B95/D95)*(0.992745*207.2019/(238.0289*0.01387))</f>
        <v>8.8918263751606883</v>
      </c>
      <c r="C133" s="38">
        <f t="shared" si="43"/>
        <v>6.4489602372792929E-2</v>
      </c>
      <c r="D133" s="38">
        <f t="shared" si="44"/>
        <v>1.2981235815278931</v>
      </c>
      <c r="E133" s="38">
        <f t="shared" si="45"/>
        <v>0.14599065779716533</v>
      </c>
      <c r="F133" s="38">
        <f t="shared" si="39"/>
        <v>0.29484358720724291</v>
      </c>
      <c r="G133" s="37">
        <f t="shared" si="40"/>
        <v>0.13096637355480539</v>
      </c>
      <c r="H133" s="131">
        <f t="shared" si="41"/>
        <v>4.2967559463793367E-2</v>
      </c>
      <c r="I133" s="57"/>
      <c r="J133" s="57"/>
      <c r="K133" s="57"/>
      <c r="L133" s="37">
        <f t="shared" si="46"/>
        <v>18.052335040706968</v>
      </c>
      <c r="M133" s="37">
        <f t="shared" si="47"/>
        <v>15.462144148349852</v>
      </c>
      <c r="N133" s="37">
        <f t="shared" si="48"/>
        <v>37.777363448584914</v>
      </c>
      <c r="O133" s="202">
        <f t="shared" si="49"/>
        <v>0.70357644690596866</v>
      </c>
      <c r="P133" s="202">
        <f>P95+(G133*(EXP($H$14*($E$77-$E$123)*1000000)-1))</f>
        <v>0.5129308055609012</v>
      </c>
      <c r="Q133" s="202">
        <f t="shared" si="51"/>
        <v>0.28306721351498138</v>
      </c>
      <c r="R133" s="37">
        <f t="shared" si="52"/>
        <v>10.901944930132856</v>
      </c>
      <c r="S133" s="37">
        <f t="shared" si="53"/>
        <v>14.4534786362982</v>
      </c>
      <c r="T133" s="37"/>
      <c r="U133" s="37"/>
      <c r="V133" s="25"/>
    </row>
    <row r="134" spans="1:22">
      <c r="A134" s="82">
        <f t="shared" si="38"/>
        <v>0.04</v>
      </c>
      <c r="B134" s="130">
        <f t="shared" si="42"/>
        <v>8.8680042216657018</v>
      </c>
      <c r="C134" s="38">
        <f t="shared" si="43"/>
        <v>6.4316827833374696E-2</v>
      </c>
      <c r="D134" s="38">
        <f t="shared" si="44"/>
        <v>1.0636300489842503</v>
      </c>
      <c r="E134" s="38">
        <f t="shared" si="45"/>
        <v>0.11994018297664565</v>
      </c>
      <c r="F134" s="38">
        <f t="shared" si="39"/>
        <v>0.30031381073374458</v>
      </c>
      <c r="G134" s="37">
        <f t="shared" si="40"/>
        <v>0.1263063880287621</v>
      </c>
      <c r="H134" s="131">
        <f t="shared" si="41"/>
        <v>4.251909813773392E-2</v>
      </c>
      <c r="I134" s="57"/>
      <c r="J134" s="57"/>
      <c r="K134" s="57"/>
      <c r="L134" s="37">
        <f t="shared" si="46"/>
        <v>18.055289498638544</v>
      </c>
      <c r="M134" s="37">
        <f t="shared" si="47"/>
        <v>15.462487800716072</v>
      </c>
      <c r="N134" s="37">
        <f t="shared" si="48"/>
        <v>37.782143677272948</v>
      </c>
      <c r="O134" s="202">
        <f t="shared" si="49"/>
        <v>0.70360229731687729</v>
      </c>
      <c r="P134" s="202">
        <f t="shared" si="50"/>
        <v>0.51293110382463403</v>
      </c>
      <c r="Q134" s="202">
        <f t="shared" si="51"/>
        <v>0.28306626001571689</v>
      </c>
      <c r="R134" s="37">
        <f t="shared" si="52"/>
        <v>10.907766161671884</v>
      </c>
      <c r="S134" s="37">
        <f t="shared" si="53"/>
        <v>14.419745397089567</v>
      </c>
      <c r="T134" s="37"/>
      <c r="U134" s="37"/>
      <c r="V134" s="25"/>
    </row>
    <row r="135" spans="1:22">
      <c r="A135" s="82">
        <f t="shared" si="38"/>
        <v>0.05</v>
      </c>
      <c r="B135" s="130">
        <f t="shared" si="42"/>
        <v>8.8535643248957943</v>
      </c>
      <c r="C135" s="38">
        <f t="shared" si="43"/>
        <v>6.4212099832432507E-2</v>
      </c>
      <c r="D135" s="38">
        <f t="shared" si="44"/>
        <v>0.92149082534712823</v>
      </c>
      <c r="E135" s="38">
        <f t="shared" si="45"/>
        <v>0.10408133849052642</v>
      </c>
      <c r="F135" s="38">
        <f t="shared" si="39"/>
        <v>0.30370411420276605</v>
      </c>
      <c r="G135" s="37">
        <f t="shared" si="40"/>
        <v>0.1232913903464254</v>
      </c>
      <c r="H135" s="131">
        <f t="shared" si="41"/>
        <v>4.2137757218308786E-2</v>
      </c>
      <c r="I135" s="57"/>
      <c r="J135" s="57"/>
      <c r="K135" s="57"/>
      <c r="L135" s="37">
        <f t="shared" si="46"/>
        <v>18.057080355521073</v>
      </c>
      <c r="M135" s="37">
        <f t="shared" si="47"/>
        <v>15.46269610701777</v>
      </c>
      <c r="N135" s="37">
        <f t="shared" si="48"/>
        <v>37.785041232643266</v>
      </c>
      <c r="O135" s="202">
        <f t="shared" si="49"/>
        <v>0.70361831873489689</v>
      </c>
      <c r="P135" s="202">
        <f t="shared" si="50"/>
        <v>0.51293129680044003</v>
      </c>
      <c r="Q135" s="202">
        <f t="shared" si="51"/>
        <v>0.28306544922498633</v>
      </c>
      <c r="R135" s="37">
        <f t="shared" si="52"/>
        <v>10.911532482296149</v>
      </c>
      <c r="S135" s="37">
        <f t="shared" si="53"/>
        <v>14.391060951612911</v>
      </c>
      <c r="T135" s="37"/>
      <c r="U135" s="37"/>
      <c r="V135" s="25"/>
    </row>
    <row r="136" spans="1:22">
      <c r="A136" s="82">
        <f t="shared" si="38"/>
        <v>6.0000000000000005E-2</v>
      </c>
      <c r="B136" s="130">
        <f t="shared" si="42"/>
        <v>8.8438758565744191</v>
      </c>
      <c r="C136" s="38">
        <f t="shared" si="43"/>
        <v>6.4141832438166665E-2</v>
      </c>
      <c r="D136" s="38">
        <f t="shared" si="44"/>
        <v>0.82612232047644629</v>
      </c>
      <c r="E136" s="38">
        <f t="shared" si="45"/>
        <v>9.3411795221245444E-2</v>
      </c>
      <c r="F136" s="38">
        <f t="shared" si="39"/>
        <v>0.30601125924371447</v>
      </c>
      <c r="G136" s="37">
        <f t="shared" si="40"/>
        <v>0.12118102615763518</v>
      </c>
      <c r="H136" s="131">
        <f t="shared" si="41"/>
        <v>4.1809517158530325E-2</v>
      </c>
      <c r="I136" s="57"/>
      <c r="J136" s="57"/>
      <c r="K136" s="57"/>
      <c r="L136" s="37">
        <f t="shared" si="46"/>
        <v>18.058281933375191</v>
      </c>
      <c r="M136" s="37">
        <f t="shared" si="47"/>
        <v>15.462835870413404</v>
      </c>
      <c r="N136" s="37">
        <f t="shared" si="48"/>
        <v>37.78698535134869</v>
      </c>
      <c r="O136" s="202">
        <f t="shared" si="49"/>
        <v>0.70362922151556861</v>
      </c>
      <c r="P136" s="202">
        <f t="shared" si="50"/>
        <v>0.51293143187491541</v>
      </c>
      <c r="Q136" s="202">
        <f t="shared" si="51"/>
        <v>0.2830647513350294</v>
      </c>
      <c r="R136" s="37">
        <f t="shared" si="52"/>
        <v>10.914168739104557</v>
      </c>
      <c r="S136" s="37">
        <f t="shared" si="53"/>
        <v>14.366370750229507</v>
      </c>
      <c r="T136" s="37"/>
      <c r="U136" s="37"/>
      <c r="V136" s="25"/>
    </row>
    <row r="137" spans="1:22">
      <c r="A137" s="82">
        <f t="shared" si="38"/>
        <v>7.0000000000000007E-2</v>
      </c>
      <c r="B137" s="130">
        <f t="shared" si="42"/>
        <v>8.8369249672812948</v>
      </c>
      <c r="C137" s="38">
        <f t="shared" si="43"/>
        <v>6.4091419838129493E-2</v>
      </c>
      <c r="D137" s="38">
        <f t="shared" si="44"/>
        <v>0.75770119368757083</v>
      </c>
      <c r="E137" s="38">
        <f t="shared" si="45"/>
        <v>8.5742630665413447E-2</v>
      </c>
      <c r="F137" s="38">
        <f t="shared" si="39"/>
        <v>0.30768282998163038</v>
      </c>
      <c r="G137" s="37">
        <f t="shared" si="40"/>
        <v>0.11962126277756673</v>
      </c>
      <c r="H137" s="131">
        <f t="shared" si="41"/>
        <v>4.1524008648162851E-2</v>
      </c>
      <c r="I137" s="57"/>
      <c r="J137" s="57"/>
      <c r="K137" s="57"/>
      <c r="L137" s="37">
        <f t="shared" si="46"/>
        <v>18.059143992718727</v>
      </c>
      <c r="M137" s="37">
        <f t="shared" si="47"/>
        <v>15.462936142185786</v>
      </c>
      <c r="N137" s="37">
        <f t="shared" si="48"/>
        <v>37.78838013878525</v>
      </c>
      <c r="O137" s="202">
        <f t="shared" si="49"/>
        <v>0.70363712078883012</v>
      </c>
      <c r="P137" s="202">
        <f t="shared" si="50"/>
        <v>0.51293153170802541</v>
      </c>
      <c r="Q137" s="202">
        <f t="shared" si="51"/>
        <v>0.28306414429906268</v>
      </c>
      <c r="R137" s="37">
        <f t="shared" si="52"/>
        <v>10.916117188026764</v>
      </c>
      <c r="S137" s="37">
        <f t="shared" si="53"/>
        <v>14.344894813920206</v>
      </c>
      <c r="T137" s="37"/>
      <c r="U137" s="37"/>
      <c r="V137" s="25"/>
    </row>
    <row r="138" spans="1:22">
      <c r="A138" s="82">
        <f t="shared" si="38"/>
        <v>0.08</v>
      </c>
      <c r="B138" s="130">
        <f t="shared" si="42"/>
        <v>8.8316949937016016</v>
      </c>
      <c r="C138" s="38">
        <f t="shared" si="43"/>
        <v>6.4053488495079788E-2</v>
      </c>
      <c r="D138" s="38">
        <f t="shared" si="44"/>
        <v>0.70621991261570483</v>
      </c>
      <c r="E138" s="38">
        <f t="shared" si="45"/>
        <v>7.9964255232925455E-2</v>
      </c>
      <c r="F138" s="38">
        <f t="shared" si="39"/>
        <v>0.30894966363347204</v>
      </c>
      <c r="G138" s="37">
        <f t="shared" si="40"/>
        <v>0.11842148586875069</v>
      </c>
      <c r="H138" s="131">
        <f t="shared" si="41"/>
        <v>4.1273397212771332E-2</v>
      </c>
      <c r="I138" s="57"/>
      <c r="J138" s="57"/>
      <c r="K138" s="57"/>
      <c r="L138" s="37">
        <f t="shared" si="46"/>
        <v>18.059792621606444</v>
      </c>
      <c r="M138" s="37">
        <f t="shared" si="47"/>
        <v>15.463011588462981</v>
      </c>
      <c r="N138" s="37">
        <f t="shared" si="48"/>
        <v>37.789429601830165</v>
      </c>
      <c r="O138" s="202">
        <f t="shared" si="49"/>
        <v>0.70364310741264802</v>
      </c>
      <c r="P138" s="202">
        <f t="shared" si="50"/>
        <v>0.51293160850009634</v>
      </c>
      <c r="Q138" s="202">
        <f t="shared" si="51"/>
        <v>0.28306361145976205</v>
      </c>
      <c r="R138" s="37">
        <f t="shared" si="52"/>
        <v>10.917615943577541</v>
      </c>
      <c r="S138" s="37">
        <f t="shared" si="53"/>
        <v>14.326043833894353</v>
      </c>
      <c r="T138" s="37"/>
      <c r="U138" s="37"/>
      <c r="V138" s="25"/>
    </row>
    <row r="139" spans="1:22">
      <c r="A139" s="82">
        <f t="shared" si="38"/>
        <v>0.09</v>
      </c>
      <c r="B139" s="130">
        <f t="shared" si="42"/>
        <v>8.8276172341435686</v>
      </c>
      <c r="C139" s="38">
        <f t="shared" si="43"/>
        <v>6.402391379564526E-2</v>
      </c>
      <c r="D139" s="38">
        <f t="shared" si="44"/>
        <v>0.66608045822809858</v>
      </c>
      <c r="E139" s="38">
        <f t="shared" si="45"/>
        <v>7.5454161701962369E-2</v>
      </c>
      <c r="F139" s="38">
        <f t="shared" si="39"/>
        <v>0.30994288406529197</v>
      </c>
      <c r="G139" s="37">
        <f t="shared" si="40"/>
        <v>0.1174699640617107</v>
      </c>
      <c r="H139" s="131">
        <f t="shared" si="41"/>
        <v>4.1051653255831287E-2</v>
      </c>
      <c r="I139" s="57"/>
      <c r="J139" s="57"/>
      <c r="K139" s="57"/>
      <c r="L139" s="37">
        <f t="shared" si="46"/>
        <v>18.060298351244697</v>
      </c>
      <c r="M139" s="37">
        <f t="shared" si="47"/>
        <v>15.463070413191875</v>
      </c>
      <c r="N139" s="37">
        <f t="shared" si="48"/>
        <v>37.790247857964161</v>
      </c>
      <c r="O139" s="202">
        <f t="shared" si="49"/>
        <v>0.70364780103369684</v>
      </c>
      <c r="P139" s="202">
        <f t="shared" si="50"/>
        <v>0.5129316694025271</v>
      </c>
      <c r="Q139" s="202">
        <f t="shared" si="51"/>
        <v>0.2830631399972578</v>
      </c>
      <c r="R139" s="37">
        <f t="shared" si="52"/>
        <v>10.918804580049013</v>
      </c>
      <c r="S139" s="37">
        <f t="shared" si="53"/>
        <v>14.309364264202262</v>
      </c>
      <c r="T139" s="37"/>
      <c r="U139" s="37"/>
      <c r="V139" s="25"/>
    </row>
    <row r="140" spans="1:22">
      <c r="A140" s="82">
        <f t="shared" si="38"/>
        <v>9.9999999999999992E-2</v>
      </c>
      <c r="B140" s="132">
        <f t="shared" si="42"/>
        <v>8.8243487040935467</v>
      </c>
      <c r="C140" s="133">
        <f t="shared" si="43"/>
        <v>6.4000208181705445E-2</v>
      </c>
      <c r="D140" s="133">
        <f t="shared" si="44"/>
        <v>0.63390666009451524</v>
      </c>
      <c r="E140" s="133">
        <f t="shared" si="45"/>
        <v>7.1836084605365932E-2</v>
      </c>
      <c r="F140" s="133">
        <f t="shared" si="39"/>
        <v>0.31074249488934574</v>
      </c>
      <c r="G140" s="134">
        <f t="shared" si="40"/>
        <v>0.1166968691353398</v>
      </c>
      <c r="H140" s="135">
        <f t="shared" si="41"/>
        <v>4.0854060611617303E-2</v>
      </c>
      <c r="I140" s="57"/>
      <c r="J140" s="57"/>
      <c r="K140" s="57"/>
      <c r="L140" s="37">
        <f t="shared" si="46"/>
        <v>18.060703719068929</v>
      </c>
      <c r="M140" s="37">
        <f t="shared" si="47"/>
        <v>15.463117564180385</v>
      </c>
      <c r="N140" s="37">
        <f t="shared" si="48"/>
        <v>37.790903731544866</v>
      </c>
      <c r="O140" s="202">
        <f t="shared" si="49"/>
        <v>0.70365157972176473</v>
      </c>
      <c r="P140" s="202">
        <f t="shared" si="50"/>
        <v>0.51293171888469358</v>
      </c>
      <c r="Q140" s="202">
        <f t="shared" si="51"/>
        <v>0.28306271988424037</v>
      </c>
      <c r="R140" s="37">
        <f t="shared" si="52"/>
        <v>10.919770326522915</v>
      </c>
      <c r="S140" s="37">
        <f t="shared" si="53"/>
        <v>14.294501355083256</v>
      </c>
      <c r="T140" s="37"/>
      <c r="U140" s="37"/>
      <c r="V140" s="25"/>
    </row>
    <row r="141" spans="1:22">
      <c r="A141" s="82">
        <f t="shared" si="38"/>
        <v>1</v>
      </c>
      <c r="B141" s="38">
        <f t="shared" si="42"/>
        <v>8.7976646292503879</v>
      </c>
      <c r="C141" s="38">
        <f t="shared" si="43"/>
        <v>6.3806677032567372E-2</v>
      </c>
      <c r="D141" s="38">
        <f t="shared" si="44"/>
        <v>0.37124178498368238</v>
      </c>
      <c r="E141" s="38">
        <f t="shared" si="45"/>
        <v>4.2197765046576269E-2</v>
      </c>
      <c r="F141" s="38">
        <f t="shared" si="39"/>
        <v>0.31738919130010312</v>
      </c>
      <c r="G141" s="37">
        <f t="shared" si="40"/>
        <v>0.11001610370838626</v>
      </c>
      <c r="H141" s="38">
        <f t="shared" si="41"/>
        <v>3.8004652014242864E-2</v>
      </c>
      <c r="I141" s="57"/>
      <c r="J141" s="57"/>
      <c r="K141" s="57"/>
      <c r="L141" s="192"/>
      <c r="M141" s="192"/>
      <c r="N141" s="192"/>
      <c r="O141" s="181"/>
      <c r="P141" s="181"/>
      <c r="Q141" s="181"/>
      <c r="R141" s="182"/>
      <c r="S141" s="182"/>
      <c r="T141" s="37"/>
      <c r="U141" s="37"/>
      <c r="V141" s="25"/>
    </row>
    <row r="142" spans="1:22">
      <c r="A142" s="82"/>
      <c r="B142" s="38"/>
      <c r="C142" s="38"/>
      <c r="D142" s="38"/>
      <c r="E142" s="38"/>
      <c r="F142" s="38"/>
      <c r="G142" s="37"/>
      <c r="H142" s="38"/>
      <c r="I142" s="57"/>
      <c r="J142" s="57"/>
      <c r="K142" s="57"/>
      <c r="L142" s="192"/>
      <c r="M142" s="192"/>
      <c r="N142" s="192"/>
      <c r="O142" s="181"/>
      <c r="P142" s="181"/>
      <c r="Q142" s="181"/>
      <c r="R142" s="182"/>
      <c r="S142" s="182"/>
      <c r="T142" s="37"/>
      <c r="U142" s="37"/>
      <c r="V142" s="25"/>
    </row>
    <row r="143" spans="1:22" ht="18">
      <c r="A143" s="213" t="str">
        <f>A106</f>
        <v>Ffluid1 (melt)</v>
      </c>
      <c r="B143" s="207" t="s">
        <v>152</v>
      </c>
      <c r="C143" s="207" t="s">
        <v>153</v>
      </c>
      <c r="D143" s="207" t="s">
        <v>154</v>
      </c>
      <c r="E143" s="207" t="s">
        <v>155</v>
      </c>
      <c r="F143" s="207" t="s">
        <v>156</v>
      </c>
      <c r="G143" s="207" t="s">
        <v>157</v>
      </c>
      <c r="H143" s="208" t="s">
        <v>158</v>
      </c>
      <c r="I143" s="214"/>
      <c r="J143" s="214"/>
      <c r="K143" s="214"/>
      <c r="L143" s="226" t="s">
        <v>159</v>
      </c>
      <c r="M143" s="226" t="s">
        <v>160</v>
      </c>
      <c r="N143" s="226" t="s">
        <v>161</v>
      </c>
      <c r="O143" s="226" t="s">
        <v>162</v>
      </c>
      <c r="P143" s="226" t="s">
        <v>163</v>
      </c>
      <c r="Q143" s="226" t="s">
        <v>164</v>
      </c>
      <c r="R143" s="227" t="s">
        <v>169</v>
      </c>
      <c r="S143" s="227" t="s">
        <v>170</v>
      </c>
      <c r="T143" s="212" t="s">
        <v>85</v>
      </c>
      <c r="U143" s="37"/>
      <c r="V143" s="25"/>
    </row>
    <row r="144" spans="1:22">
      <c r="A144" s="94">
        <f t="shared" ref="A144:A158" si="54">A107</f>
        <v>0</v>
      </c>
      <c r="B144" s="126">
        <f t="shared" ref="B144:B158" si="55">(B107/D107)*(0.992745*207.2019/(238.0289*0.01387))</f>
        <v>12.622203107225738</v>
      </c>
      <c r="C144" s="127">
        <f>B144/137.88</f>
        <v>9.1544844119710894E-2</v>
      </c>
      <c r="D144" s="127">
        <f t="shared" ref="D144:D158" si="56">(C107/D107)*(1*207.2019/(0.01387*232.0381))</f>
        <v>38.018112721247327</v>
      </c>
      <c r="E144" s="127">
        <f>D144/B144</f>
        <v>3.0120029283543523</v>
      </c>
      <c r="F144" s="127">
        <f t="shared" ref="F144:F158" si="57">(E107/F107)*(87.62*0.2784/(85.4678*0.0986))</f>
        <v>2.5992594777878714E-2</v>
      </c>
      <c r="G144" s="128">
        <f t="shared" ref="G144:G158" si="58">(G107/H107)*(0.15*144.24/(150.36*0.238))</f>
        <v>0.22895067748396578</v>
      </c>
      <c r="H144" s="129">
        <f t="shared" ref="H144:H158" si="59">(J107/I107)*(0.0259*178.49/(0.18606*174.967))</f>
        <v>4.4956445331240859E-2</v>
      </c>
      <c r="I144" s="57"/>
      <c r="J144" s="57"/>
      <c r="K144" s="57"/>
      <c r="L144" s="37">
        <f>L107+(B144*(EXP($H$9*($E$77-$E$123)*1000000)-1))</f>
        <v>17.589688322972172</v>
      </c>
      <c r="M144" s="37">
        <f>M107+(C144*(EXP($H$10*($E$77-$E$123)*1000000)-1))</f>
        <v>15.408330676316353</v>
      </c>
      <c r="N144" s="37">
        <f>N107+(D144*(EXP($H$11*($E$77-$E$123)*1000000)-1))</f>
        <v>37.028814251486352</v>
      </c>
      <c r="O144" s="202">
        <f>O107+(F144*(EXP($H$13*($E$77-$E$123)*1000000)-1))</f>
        <v>0.70230594880039665</v>
      </c>
      <c r="P144" s="202">
        <f>P107+(G144*(EXP($H$14*($E$77-$E$123)*1000000)-1))</f>
        <v>0.51292453404694993</v>
      </c>
      <c r="Q144" s="202">
        <f>Q107+(H144*(EXP($H$15*($E$77-$E$123)*1000000)-1))</f>
        <v>0.28307144219893121</v>
      </c>
      <c r="R144" s="37">
        <f>((P144/$V$16)-1)*10000</f>
        <v>10.779543408268033</v>
      </c>
      <c r="S144" s="37">
        <f>((Q144/$X$16)-1)*10000</f>
        <v>14.603082534840883</v>
      </c>
      <c r="T144" s="37"/>
      <c r="U144" s="37"/>
      <c r="V144" s="25"/>
    </row>
    <row r="145" spans="1:24">
      <c r="A145" s="94">
        <f t="shared" si="54"/>
        <v>1E-3</v>
      </c>
      <c r="B145" s="130">
        <f t="shared" si="55"/>
        <v>10.473460710444671</v>
      </c>
      <c r="C145" s="38">
        <f t="shared" ref="C145:C158" si="60">B145/137.88</f>
        <v>7.5960695608098872E-2</v>
      </c>
      <c r="D145" s="38">
        <f t="shared" si="56"/>
        <v>16.866952090300202</v>
      </c>
      <c r="E145" s="38">
        <f t="shared" ref="E145:E158" si="61">D145/B145</f>
        <v>1.6104468767882629</v>
      </c>
      <c r="F145" s="38">
        <f t="shared" si="57"/>
        <v>0.10713925252368718</v>
      </c>
      <c r="G145" s="37">
        <f t="shared" si="58"/>
        <v>0.21331403501585633</v>
      </c>
      <c r="H145" s="131">
        <f t="shared" si="59"/>
        <v>4.4867431251681453E-2</v>
      </c>
      <c r="I145" s="57"/>
      <c r="J145" s="57"/>
      <c r="K145" s="57"/>
      <c r="L145" s="37">
        <f t="shared" ref="L145:L157" si="62">L108+(B145*(EXP($H$9*($E$77-$E$123)*1000000)-1))</f>
        <v>17.856178462850899</v>
      </c>
      <c r="M145" s="37">
        <f t="shared" ref="M145:M157" si="63">M108+(C145*(EXP($H$10*($E$77-$E$123)*1000000)-1))</f>
        <v>15.439327891123757</v>
      </c>
      <c r="N145" s="37">
        <f t="shared" ref="N145:N157" si="64">N108+(D145*(EXP($H$11*($E$77-$E$123)*1000000)-1))</f>
        <v>37.459987698944488</v>
      </c>
      <c r="O145" s="202">
        <f t="shared" ref="O145:O157" si="65">O108+(F145*(EXP($H$13*($E$77-$E$123)*1000000)-1))</f>
        <v>0.70268942023194303</v>
      </c>
      <c r="P145" s="202">
        <f t="shared" ref="P145:P157" si="66">P108+(G145*(EXP($H$14*($E$77-$E$123)*1000000)-1))</f>
        <v>0.51292553487481163</v>
      </c>
      <c r="Q145" s="202">
        <f t="shared" ref="Q145:Q157" si="67">Q108+(H145*(EXP($H$15*($E$77-$E$123)*1000000)-1))</f>
        <v>0.28307125294100755</v>
      </c>
      <c r="R145" s="37">
        <f t="shared" ref="R145:R157" si="68">((P145/$V$16)-1)*10000</f>
        <v>10.799076626937243</v>
      </c>
      <c r="S145" s="37">
        <f t="shared" ref="S145:S157" si="69">((Q145/$X$16)-1)*10000</f>
        <v>14.596386900089797</v>
      </c>
      <c r="T145" s="37"/>
      <c r="U145" s="37"/>
      <c r="V145" s="25"/>
    </row>
    <row r="146" spans="1:24">
      <c r="A146" s="94">
        <f t="shared" si="54"/>
        <v>2E-3</v>
      </c>
      <c r="B146" s="130">
        <f t="shared" si="55"/>
        <v>9.8698609225145226</v>
      </c>
      <c r="C146" s="38">
        <f t="shared" si="60"/>
        <v>7.1582977389864536E-2</v>
      </c>
      <c r="D146" s="38">
        <f t="shared" si="56"/>
        <v>10.925413406816489</v>
      </c>
      <c r="E146" s="38">
        <f t="shared" si="61"/>
        <v>1.1069470474395546</v>
      </c>
      <c r="F146" s="38">
        <f t="shared" si="57"/>
        <v>0.15300724551858627</v>
      </c>
      <c r="G146" s="37">
        <f t="shared" si="58"/>
        <v>0.20128997059353332</v>
      </c>
      <c r="H146" s="131">
        <f t="shared" si="59"/>
        <v>4.4780496238258145E-2</v>
      </c>
      <c r="I146" s="57"/>
      <c r="J146" s="57"/>
      <c r="K146" s="57"/>
      <c r="L146" s="37">
        <f t="shared" si="62"/>
        <v>17.931037781565532</v>
      </c>
      <c r="M146" s="37">
        <f t="shared" si="63"/>
        <v>15.448035269128772</v>
      </c>
      <c r="N146" s="37">
        <f t="shared" si="64"/>
        <v>37.581107942039573</v>
      </c>
      <c r="O146" s="202">
        <f t="shared" si="65"/>
        <v>0.70290617672474898</v>
      </c>
      <c r="P146" s="202">
        <f t="shared" si="66"/>
        <v>0.51292630447856202</v>
      </c>
      <c r="Q146" s="202">
        <f t="shared" si="67"/>
        <v>0.28307106810350541</v>
      </c>
      <c r="R146" s="37">
        <f t="shared" si="68"/>
        <v>10.814097030464875</v>
      </c>
      <c r="S146" s="37">
        <f t="shared" si="69"/>
        <v>14.58984765259741</v>
      </c>
      <c r="T146" s="37"/>
      <c r="U146" s="37"/>
      <c r="V146" s="25"/>
    </row>
    <row r="147" spans="1:24">
      <c r="A147" s="94">
        <f t="shared" si="54"/>
        <v>5.0000000000000001E-3</v>
      </c>
      <c r="B147" s="130">
        <f t="shared" si="55"/>
        <v>9.3119309741362066</v>
      </c>
      <c r="C147" s="38">
        <f t="shared" si="60"/>
        <v>6.7536488063070832E-2</v>
      </c>
      <c r="D147" s="38">
        <f t="shared" si="56"/>
        <v>5.4334261045488441</v>
      </c>
      <c r="E147" s="38">
        <f t="shared" si="61"/>
        <v>0.5834908054666782</v>
      </c>
      <c r="F147" s="38">
        <f t="shared" si="57"/>
        <v>0.21819117243779398</v>
      </c>
      <c r="G147" s="37">
        <f t="shared" si="58"/>
        <v>0.17759587848169689</v>
      </c>
      <c r="H147" s="131">
        <f t="shared" si="59"/>
        <v>4.4531461851672116E-2</v>
      </c>
      <c r="I147" s="57"/>
      <c r="J147" s="57"/>
      <c r="K147" s="57"/>
      <c r="L147" s="37">
        <f t="shared" si="62"/>
        <v>18.000233060724447</v>
      </c>
      <c r="M147" s="37">
        <f t="shared" si="63"/>
        <v>15.456083825569637</v>
      </c>
      <c r="N147" s="37">
        <f t="shared" si="64"/>
        <v>37.693063930641465</v>
      </c>
      <c r="O147" s="202">
        <f t="shared" si="65"/>
        <v>0.70321421373408377</v>
      </c>
      <c r="P147" s="202">
        <f t="shared" si="66"/>
        <v>0.51292782102583834</v>
      </c>
      <c r="Q147" s="202">
        <f t="shared" si="67"/>
        <v>0.28307053861725845</v>
      </c>
      <c r="R147" s="37">
        <f t="shared" si="68"/>
        <v>10.843695576532308</v>
      </c>
      <c r="S147" s="37">
        <f t="shared" si="69"/>
        <v>14.571115298107618</v>
      </c>
      <c r="T147" s="37"/>
      <c r="U147" s="37"/>
      <c r="V147" s="25"/>
    </row>
    <row r="148" spans="1:24">
      <c r="A148" s="94">
        <f t="shared" si="54"/>
        <v>0.01</v>
      </c>
      <c r="B148" s="130">
        <f t="shared" si="55"/>
        <v>9.0720456921471229</v>
      </c>
      <c r="C148" s="38">
        <f t="shared" si="60"/>
        <v>6.5796676038200774E-2</v>
      </c>
      <c r="D148" s="38">
        <f t="shared" si="56"/>
        <v>3.0721136736348087</v>
      </c>
      <c r="E148" s="38">
        <f t="shared" si="61"/>
        <v>0.33863516321286485</v>
      </c>
      <c r="F148" s="38">
        <f t="shared" si="57"/>
        <v>0.25785512810342393</v>
      </c>
      <c r="G148" s="37">
        <f t="shared" si="58"/>
        <v>0.15707225225377722</v>
      </c>
      <c r="H148" s="131">
        <f t="shared" si="59"/>
        <v>4.4151868572297755E-2</v>
      </c>
      <c r="I148" s="57"/>
      <c r="J148" s="57"/>
      <c r="K148" s="57"/>
      <c r="L148" s="37">
        <f t="shared" si="62"/>
        <v>18.029983980354402</v>
      </c>
      <c r="M148" s="37">
        <f t="shared" si="63"/>
        <v>15.459544350026215</v>
      </c>
      <c r="N148" s="37">
        <f t="shared" si="64"/>
        <v>37.741200070266501</v>
      </c>
      <c r="O148" s="202">
        <f t="shared" si="65"/>
        <v>0.70340165206219751</v>
      </c>
      <c r="P148" s="202">
        <f t="shared" si="66"/>
        <v>0.5129291346465209</v>
      </c>
      <c r="Q148" s="202">
        <f t="shared" si="67"/>
        <v>0.28306973154228537</v>
      </c>
      <c r="R148" s="37">
        <f t="shared" si="68"/>
        <v>10.869333591843056</v>
      </c>
      <c r="S148" s="37">
        <f t="shared" si="69"/>
        <v>14.542562310033702</v>
      </c>
      <c r="T148" s="37"/>
      <c r="U148" s="37"/>
      <c r="V148" s="25"/>
    </row>
    <row r="149" spans="1:24">
      <c r="A149" s="94">
        <f t="shared" si="54"/>
        <v>0.02</v>
      </c>
      <c r="B149" s="130">
        <f t="shared" si="55"/>
        <v>8.9385750718347161</v>
      </c>
      <c r="C149" s="38">
        <f t="shared" si="60"/>
        <v>6.4828655873474875E-2</v>
      </c>
      <c r="D149" s="38">
        <f t="shared" si="56"/>
        <v>1.758294700281386</v>
      </c>
      <c r="E149" s="38">
        <f t="shared" si="61"/>
        <v>0.19670861251943164</v>
      </c>
      <c r="F149" s="38">
        <f t="shared" si="57"/>
        <v>0.2845325274707321</v>
      </c>
      <c r="G149" s="37">
        <f t="shared" si="58"/>
        <v>0.13912264477957861</v>
      </c>
      <c r="H149" s="131">
        <f t="shared" si="59"/>
        <v>4.350257218609388E-2</v>
      </c>
      <c r="I149" s="57"/>
      <c r="J149" s="57"/>
      <c r="K149" s="57"/>
      <c r="L149" s="37">
        <f t="shared" si="62"/>
        <v>18.046537199730555</v>
      </c>
      <c r="M149" s="37">
        <f t="shared" si="63"/>
        <v>15.461469763465491</v>
      </c>
      <c r="N149" s="37">
        <f t="shared" si="64"/>
        <v>37.767982707208319</v>
      </c>
      <c r="O149" s="202">
        <f t="shared" si="65"/>
        <v>0.70352772035397315</v>
      </c>
      <c r="P149" s="202">
        <f t="shared" si="66"/>
        <v>0.51293028351638248</v>
      </c>
      <c r="Q149" s="202">
        <f t="shared" si="67"/>
        <v>0.2830683510361176</v>
      </c>
      <c r="R149" s="37">
        <f t="shared" si="68"/>
        <v>10.891756155291255</v>
      </c>
      <c r="S149" s="37">
        <f t="shared" si="69"/>
        <v>14.493722267336917</v>
      </c>
      <c r="T149" s="37"/>
      <c r="U149" s="37"/>
      <c r="V149" s="25"/>
    </row>
    <row r="150" spans="1:24">
      <c r="A150" s="94">
        <f t="shared" si="54"/>
        <v>0.03</v>
      </c>
      <c r="B150" s="130">
        <f t="shared" si="55"/>
        <v>8.8918263751606883</v>
      </c>
      <c r="C150" s="38">
        <f t="shared" si="60"/>
        <v>6.4489602372792929E-2</v>
      </c>
      <c r="D150" s="38">
        <f t="shared" si="56"/>
        <v>1.2981235815278931</v>
      </c>
      <c r="E150" s="38">
        <f t="shared" si="61"/>
        <v>0.14599065779716533</v>
      </c>
      <c r="F150" s="38">
        <f t="shared" si="57"/>
        <v>0.29484358720724291</v>
      </c>
      <c r="G150" s="37">
        <f t="shared" si="58"/>
        <v>0.13096637355480539</v>
      </c>
      <c r="H150" s="131">
        <f t="shared" si="59"/>
        <v>4.2967559463793367E-2</v>
      </c>
      <c r="I150" s="57"/>
      <c r="J150" s="57"/>
      <c r="K150" s="57"/>
      <c r="L150" s="37">
        <f t="shared" si="62"/>
        <v>18.052335040706968</v>
      </c>
      <c r="M150" s="37">
        <f t="shared" si="63"/>
        <v>15.462144148349852</v>
      </c>
      <c r="N150" s="37">
        <f t="shared" si="64"/>
        <v>37.777363448584914</v>
      </c>
      <c r="O150" s="202">
        <f t="shared" si="65"/>
        <v>0.70357644690596866</v>
      </c>
      <c r="P150" s="202">
        <f t="shared" si="66"/>
        <v>0.5129308055609012</v>
      </c>
      <c r="Q150" s="202">
        <f t="shared" si="67"/>
        <v>0.28306721351498138</v>
      </c>
      <c r="R150" s="37">
        <f t="shared" si="68"/>
        <v>10.901944930132856</v>
      </c>
      <c r="S150" s="37">
        <f t="shared" si="69"/>
        <v>14.4534786362982</v>
      </c>
      <c r="T150" s="37"/>
      <c r="U150" s="37"/>
      <c r="V150" s="25"/>
    </row>
    <row r="151" spans="1:24">
      <c r="A151" s="94">
        <f t="shared" si="54"/>
        <v>0.04</v>
      </c>
      <c r="B151" s="130">
        <f t="shared" si="55"/>
        <v>8.8680042216657018</v>
      </c>
      <c r="C151" s="38">
        <f t="shared" si="60"/>
        <v>6.4316827833374696E-2</v>
      </c>
      <c r="D151" s="38">
        <f t="shared" si="56"/>
        <v>1.0636300489842503</v>
      </c>
      <c r="E151" s="38">
        <f t="shared" si="61"/>
        <v>0.11994018297664565</v>
      </c>
      <c r="F151" s="38">
        <f t="shared" si="57"/>
        <v>0.30031381073374458</v>
      </c>
      <c r="G151" s="37">
        <f t="shared" si="58"/>
        <v>0.1263063880287621</v>
      </c>
      <c r="H151" s="131">
        <f t="shared" si="59"/>
        <v>4.251909813773392E-2</v>
      </c>
      <c r="I151" s="57"/>
      <c r="J151" s="57"/>
      <c r="K151" s="57"/>
      <c r="L151" s="37">
        <f t="shared" si="62"/>
        <v>18.055289498638544</v>
      </c>
      <c r="M151" s="37">
        <f t="shared" si="63"/>
        <v>15.462487800716072</v>
      </c>
      <c r="N151" s="37">
        <f t="shared" si="64"/>
        <v>37.782143677272948</v>
      </c>
      <c r="O151" s="202">
        <f t="shared" si="65"/>
        <v>0.70360229731687729</v>
      </c>
      <c r="P151" s="202">
        <f t="shared" si="66"/>
        <v>0.51293110382463403</v>
      </c>
      <c r="Q151" s="202">
        <f t="shared" si="67"/>
        <v>0.28306626001571689</v>
      </c>
      <c r="R151" s="37">
        <f t="shared" si="68"/>
        <v>10.907766161671884</v>
      </c>
      <c r="S151" s="37">
        <f t="shared" si="69"/>
        <v>14.419745397089567</v>
      </c>
      <c r="T151" s="37"/>
      <c r="U151" s="37"/>
      <c r="V151" s="25"/>
    </row>
    <row r="152" spans="1:24">
      <c r="A152" s="94">
        <f t="shared" si="54"/>
        <v>0.05</v>
      </c>
      <c r="B152" s="130">
        <f t="shared" si="55"/>
        <v>8.8535643248957943</v>
      </c>
      <c r="C152" s="38">
        <f t="shared" si="60"/>
        <v>6.4212099832432507E-2</v>
      </c>
      <c r="D152" s="38">
        <f t="shared" si="56"/>
        <v>0.92149082534712823</v>
      </c>
      <c r="E152" s="38">
        <f t="shared" si="61"/>
        <v>0.10408133849052642</v>
      </c>
      <c r="F152" s="38">
        <f t="shared" si="57"/>
        <v>0.30370411420276605</v>
      </c>
      <c r="G152" s="37">
        <f t="shared" si="58"/>
        <v>0.1232913903464254</v>
      </c>
      <c r="H152" s="131">
        <f t="shared" si="59"/>
        <v>4.2137757218308786E-2</v>
      </c>
      <c r="I152" s="57"/>
      <c r="J152" s="57"/>
      <c r="K152" s="57"/>
      <c r="L152" s="37">
        <f t="shared" si="62"/>
        <v>18.057080355521073</v>
      </c>
      <c r="M152" s="37">
        <f t="shared" si="63"/>
        <v>15.46269610701777</v>
      </c>
      <c r="N152" s="37">
        <f t="shared" si="64"/>
        <v>37.785041232643266</v>
      </c>
      <c r="O152" s="202">
        <f t="shared" si="65"/>
        <v>0.70361831873489689</v>
      </c>
      <c r="P152" s="202">
        <f t="shared" si="66"/>
        <v>0.51293129680044003</v>
      </c>
      <c r="Q152" s="202">
        <f t="shared" si="67"/>
        <v>0.28306544922498633</v>
      </c>
      <c r="R152" s="37">
        <f t="shared" si="68"/>
        <v>10.911532482296149</v>
      </c>
      <c r="S152" s="37">
        <f t="shared" si="69"/>
        <v>14.391060951612911</v>
      </c>
      <c r="T152" s="37"/>
      <c r="U152" s="37"/>
      <c r="V152" s="25"/>
    </row>
    <row r="153" spans="1:24">
      <c r="A153" s="94">
        <f t="shared" si="54"/>
        <v>6.0000000000000005E-2</v>
      </c>
      <c r="B153" s="130">
        <f t="shared" si="55"/>
        <v>8.8438758565744191</v>
      </c>
      <c r="C153" s="38">
        <f t="shared" si="60"/>
        <v>6.4141832438166665E-2</v>
      </c>
      <c r="D153" s="38">
        <f t="shared" si="56"/>
        <v>0.82612232047644629</v>
      </c>
      <c r="E153" s="38">
        <f t="shared" si="61"/>
        <v>9.3411795221245444E-2</v>
      </c>
      <c r="F153" s="38">
        <f t="shared" si="57"/>
        <v>0.30601125924371447</v>
      </c>
      <c r="G153" s="37">
        <f t="shared" si="58"/>
        <v>0.12118102615763518</v>
      </c>
      <c r="H153" s="131">
        <f t="shared" si="59"/>
        <v>4.1809517158530325E-2</v>
      </c>
      <c r="I153" s="57"/>
      <c r="J153" s="57"/>
      <c r="K153" s="57"/>
      <c r="L153" s="37">
        <f t="shared" si="62"/>
        <v>18.058281933375191</v>
      </c>
      <c r="M153" s="37">
        <f t="shared" si="63"/>
        <v>15.462835870413404</v>
      </c>
      <c r="N153" s="37">
        <f t="shared" si="64"/>
        <v>37.78698535134869</v>
      </c>
      <c r="O153" s="202">
        <f t="shared" si="65"/>
        <v>0.70362922151556861</v>
      </c>
      <c r="P153" s="202">
        <f t="shared" si="66"/>
        <v>0.51293143187491541</v>
      </c>
      <c r="Q153" s="202">
        <f t="shared" si="67"/>
        <v>0.2830647513350294</v>
      </c>
      <c r="R153" s="37">
        <f t="shared" si="68"/>
        <v>10.914168739104557</v>
      </c>
      <c r="S153" s="37">
        <f t="shared" si="69"/>
        <v>14.366370750229507</v>
      </c>
      <c r="T153" s="37"/>
      <c r="U153" s="37"/>
      <c r="V153" s="25"/>
    </row>
    <row r="154" spans="1:24">
      <c r="A154" s="94">
        <f t="shared" si="54"/>
        <v>7.0000000000000007E-2</v>
      </c>
      <c r="B154" s="130">
        <f t="shared" si="55"/>
        <v>8.8369249672812948</v>
      </c>
      <c r="C154" s="38">
        <f t="shared" si="60"/>
        <v>6.4091419838129493E-2</v>
      </c>
      <c r="D154" s="38">
        <f t="shared" si="56"/>
        <v>0.75770119368757083</v>
      </c>
      <c r="E154" s="38">
        <f t="shared" si="61"/>
        <v>8.5742630665413447E-2</v>
      </c>
      <c r="F154" s="38">
        <f t="shared" si="57"/>
        <v>0.30768282998163038</v>
      </c>
      <c r="G154" s="37">
        <f t="shared" si="58"/>
        <v>0.11962126277756673</v>
      </c>
      <c r="H154" s="131">
        <f t="shared" si="59"/>
        <v>4.1524008648162851E-2</v>
      </c>
      <c r="I154" s="57"/>
      <c r="J154" s="57"/>
      <c r="K154" s="57"/>
      <c r="L154" s="37">
        <f t="shared" si="62"/>
        <v>18.059143992718727</v>
      </c>
      <c r="M154" s="37">
        <f t="shared" si="63"/>
        <v>15.462936142185786</v>
      </c>
      <c r="N154" s="37">
        <f t="shared" si="64"/>
        <v>37.78838013878525</v>
      </c>
      <c r="O154" s="202">
        <f t="shared" si="65"/>
        <v>0.70363712078883012</v>
      </c>
      <c r="P154" s="202">
        <f t="shared" si="66"/>
        <v>0.51293153170802541</v>
      </c>
      <c r="Q154" s="202">
        <f t="shared" si="67"/>
        <v>0.28306414429906268</v>
      </c>
      <c r="R154" s="37">
        <f t="shared" si="68"/>
        <v>10.916117188026764</v>
      </c>
      <c r="S154" s="37">
        <f t="shared" si="69"/>
        <v>14.344894813920206</v>
      </c>
      <c r="T154" s="37"/>
      <c r="U154" s="37"/>
      <c r="V154" s="25"/>
    </row>
    <row r="155" spans="1:24">
      <c r="A155" s="94">
        <f t="shared" si="54"/>
        <v>0.08</v>
      </c>
      <c r="B155" s="130">
        <f t="shared" si="55"/>
        <v>8.8316949937016016</v>
      </c>
      <c r="C155" s="38">
        <f t="shared" si="60"/>
        <v>6.4053488495079788E-2</v>
      </c>
      <c r="D155" s="38">
        <f t="shared" si="56"/>
        <v>0.70621991261570483</v>
      </c>
      <c r="E155" s="38">
        <f t="shared" si="61"/>
        <v>7.9964255232925455E-2</v>
      </c>
      <c r="F155" s="38">
        <f t="shared" si="57"/>
        <v>0.30894966363347204</v>
      </c>
      <c r="G155" s="37">
        <f t="shared" si="58"/>
        <v>0.11842148586875069</v>
      </c>
      <c r="H155" s="131">
        <f t="shared" si="59"/>
        <v>4.1273397212771332E-2</v>
      </c>
      <c r="I155" s="57"/>
      <c r="J155" s="57"/>
      <c r="K155" s="57"/>
      <c r="L155" s="37">
        <f t="shared" si="62"/>
        <v>18.059792621606444</v>
      </c>
      <c r="M155" s="37">
        <f t="shared" si="63"/>
        <v>15.463011588462981</v>
      </c>
      <c r="N155" s="37">
        <f t="shared" si="64"/>
        <v>37.789429601830165</v>
      </c>
      <c r="O155" s="202">
        <f t="shared" si="65"/>
        <v>0.70364310741264802</v>
      </c>
      <c r="P155" s="202">
        <f t="shared" si="66"/>
        <v>0.51293160850009634</v>
      </c>
      <c r="Q155" s="202">
        <f t="shared" si="67"/>
        <v>0.28306361145976205</v>
      </c>
      <c r="R155" s="37">
        <f t="shared" si="68"/>
        <v>10.917615943577541</v>
      </c>
      <c r="S155" s="37">
        <f t="shared" si="69"/>
        <v>14.326043833894353</v>
      </c>
      <c r="T155" s="37"/>
      <c r="U155" s="37"/>
      <c r="V155" s="25"/>
    </row>
    <row r="156" spans="1:24">
      <c r="A156" s="94">
        <f t="shared" si="54"/>
        <v>0.09</v>
      </c>
      <c r="B156" s="130">
        <f t="shared" si="55"/>
        <v>8.8276172341435686</v>
      </c>
      <c r="C156" s="38">
        <f t="shared" si="60"/>
        <v>6.402391379564526E-2</v>
      </c>
      <c r="D156" s="38">
        <f t="shared" si="56"/>
        <v>0.66608045822809858</v>
      </c>
      <c r="E156" s="38">
        <f t="shared" si="61"/>
        <v>7.5454161701962369E-2</v>
      </c>
      <c r="F156" s="38">
        <f t="shared" si="57"/>
        <v>0.30994288406529197</v>
      </c>
      <c r="G156" s="37">
        <f t="shared" si="58"/>
        <v>0.1174699640617107</v>
      </c>
      <c r="H156" s="131">
        <f t="shared" si="59"/>
        <v>4.1051653255831287E-2</v>
      </c>
      <c r="I156" s="57"/>
      <c r="J156" s="57"/>
      <c r="K156" s="57"/>
      <c r="L156" s="37">
        <f t="shared" si="62"/>
        <v>18.060298351244697</v>
      </c>
      <c r="M156" s="37">
        <f t="shared" si="63"/>
        <v>15.463070413191875</v>
      </c>
      <c r="N156" s="37">
        <f t="shared" si="64"/>
        <v>37.790247857964161</v>
      </c>
      <c r="O156" s="202">
        <f t="shared" si="65"/>
        <v>0.70364780103369684</v>
      </c>
      <c r="P156" s="202">
        <f t="shared" si="66"/>
        <v>0.5129316694025271</v>
      </c>
      <c r="Q156" s="202">
        <f t="shared" si="67"/>
        <v>0.2830631399972578</v>
      </c>
      <c r="R156" s="37">
        <f t="shared" si="68"/>
        <v>10.918804580049013</v>
      </c>
      <c r="S156" s="37">
        <f t="shared" si="69"/>
        <v>14.309364264202262</v>
      </c>
      <c r="T156" s="37"/>
      <c r="U156" s="37"/>
      <c r="V156" s="25"/>
    </row>
    <row r="157" spans="1:24">
      <c r="A157" s="94">
        <f t="shared" si="54"/>
        <v>9.9999999999999992E-2</v>
      </c>
      <c r="B157" s="132">
        <f t="shared" si="55"/>
        <v>8.8243487040935467</v>
      </c>
      <c r="C157" s="133">
        <f t="shared" si="60"/>
        <v>6.4000208181705445E-2</v>
      </c>
      <c r="D157" s="133">
        <f t="shared" si="56"/>
        <v>0.63390666009451524</v>
      </c>
      <c r="E157" s="133">
        <f t="shared" si="61"/>
        <v>7.1836084605365932E-2</v>
      </c>
      <c r="F157" s="133">
        <f t="shared" si="57"/>
        <v>0.31074249488934574</v>
      </c>
      <c r="G157" s="134">
        <f t="shared" si="58"/>
        <v>0.1166968691353398</v>
      </c>
      <c r="H157" s="135">
        <f t="shared" si="59"/>
        <v>4.0854060611617303E-2</v>
      </c>
      <c r="I157" s="57"/>
      <c r="J157" s="57"/>
      <c r="K157" s="57"/>
      <c r="L157" s="37">
        <f t="shared" si="62"/>
        <v>18.060703719068929</v>
      </c>
      <c r="M157" s="37">
        <f t="shared" si="63"/>
        <v>15.463117564180385</v>
      </c>
      <c r="N157" s="37">
        <f t="shared" si="64"/>
        <v>37.790903731544866</v>
      </c>
      <c r="O157" s="202">
        <f t="shared" si="65"/>
        <v>0.70365157972176473</v>
      </c>
      <c r="P157" s="202">
        <f t="shared" si="66"/>
        <v>0.51293171888469358</v>
      </c>
      <c r="Q157" s="202">
        <f t="shared" si="67"/>
        <v>0.28306271988424037</v>
      </c>
      <c r="R157" s="37">
        <f t="shared" si="68"/>
        <v>10.919770326522915</v>
      </c>
      <c r="S157" s="37">
        <f t="shared" si="69"/>
        <v>14.294501355083256</v>
      </c>
      <c r="T157" s="37"/>
      <c r="U157" s="37"/>
      <c r="V157" s="25"/>
    </row>
    <row r="158" spans="1:24">
      <c r="A158" s="94">
        <f t="shared" si="54"/>
        <v>1</v>
      </c>
      <c r="B158" s="38">
        <f t="shared" si="55"/>
        <v>8.7976646292503879</v>
      </c>
      <c r="C158" s="38">
        <f t="shared" si="60"/>
        <v>6.3806677032567372E-2</v>
      </c>
      <c r="D158" s="38">
        <f t="shared" si="56"/>
        <v>0.37124178498368238</v>
      </c>
      <c r="E158" s="38">
        <f t="shared" si="61"/>
        <v>4.2197765046576269E-2</v>
      </c>
      <c r="F158" s="38">
        <f t="shared" si="57"/>
        <v>0.31738919130010312</v>
      </c>
      <c r="G158" s="37">
        <f t="shared" si="58"/>
        <v>0.11001610370838626</v>
      </c>
      <c r="H158" s="38">
        <f t="shared" si="59"/>
        <v>3.8004652014242864E-2</v>
      </c>
      <c r="I158" s="57"/>
      <c r="J158" s="57"/>
      <c r="K158" s="57"/>
      <c r="L158" s="57"/>
      <c r="M158" s="57"/>
      <c r="N158" s="57"/>
      <c r="O158" s="75"/>
      <c r="P158" s="75"/>
      <c r="Q158" s="75"/>
      <c r="R158" s="57"/>
      <c r="S158" s="57"/>
      <c r="T158" s="37"/>
      <c r="U158" s="37"/>
      <c r="V158" s="25"/>
    </row>
    <row r="159" spans="1:24">
      <c r="A159" s="95"/>
      <c r="B159" s="81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75"/>
      <c r="P159" s="75"/>
      <c r="Q159" s="75"/>
      <c r="R159" s="57"/>
      <c r="S159" s="57"/>
      <c r="T159" s="37"/>
      <c r="U159" s="37"/>
      <c r="V159" s="25"/>
    </row>
    <row r="160" spans="1:24" ht="14" thickBot="1">
      <c r="A160" s="109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9"/>
      <c r="Q160" s="29"/>
      <c r="R160" s="29"/>
      <c r="S160" s="29"/>
      <c r="T160" s="29"/>
      <c r="U160" s="29"/>
      <c r="V160" s="29"/>
      <c r="W160" s="29"/>
      <c r="X160" s="29"/>
    </row>
    <row r="161" spans="1:29">
      <c r="A161" s="45" t="s">
        <v>172</v>
      </c>
    </row>
    <row r="163" spans="1:29">
      <c r="D163" s="104" t="s">
        <v>38</v>
      </c>
      <c r="E163" s="39">
        <f>Melting_age</f>
        <v>201</v>
      </c>
      <c r="F163" s="2" t="s">
        <v>37</v>
      </c>
      <c r="H163" s="104" t="s">
        <v>42</v>
      </c>
      <c r="I163" s="13">
        <f>Melt_fraction</f>
        <v>0.06</v>
      </c>
    </row>
    <row r="164" spans="1:29">
      <c r="D164" s="104"/>
      <c r="E164" s="39"/>
    </row>
    <row r="165" spans="1:29">
      <c r="B165" s="88" t="s">
        <v>108</v>
      </c>
    </row>
    <row r="166" spans="1:29" ht="14" thickBot="1">
      <c r="A166" s="12" t="s">
        <v>31</v>
      </c>
      <c r="B166" s="12" t="s">
        <v>26</v>
      </c>
      <c r="C166" s="12" t="s">
        <v>23</v>
      </c>
      <c r="D166" s="12" t="s">
        <v>22</v>
      </c>
      <c r="E166" s="12" t="s">
        <v>21</v>
      </c>
      <c r="F166" s="12" t="s">
        <v>15</v>
      </c>
      <c r="G166" s="12" t="s">
        <v>16</v>
      </c>
      <c r="H166" s="12" t="s">
        <v>19</v>
      </c>
      <c r="I166" s="12" t="s">
        <v>18</v>
      </c>
      <c r="J166" s="12" t="s">
        <v>17</v>
      </c>
      <c r="K166" s="12" t="s">
        <v>20</v>
      </c>
      <c r="L166" s="94"/>
      <c r="M166" s="94"/>
      <c r="N166" s="94"/>
    </row>
    <row r="167" spans="1:29">
      <c r="A167" s="46">
        <v>0.59</v>
      </c>
      <c r="B167" s="12" t="s">
        <v>27</v>
      </c>
      <c r="C167" s="193">
        <v>5.0000000000000002E-5</v>
      </c>
      <c r="D167" s="86">
        <v>4.6999999999999999E-4</v>
      </c>
      <c r="E167" s="194">
        <v>1E-4</v>
      </c>
      <c r="F167" s="86">
        <v>1.8000000000000001E-4</v>
      </c>
      <c r="G167" s="86">
        <v>1.9000000000000001E-4</v>
      </c>
      <c r="H167" s="86">
        <v>1.2999999999999999E-3</v>
      </c>
      <c r="I167" s="86">
        <v>1E-3</v>
      </c>
      <c r="J167" s="86">
        <v>1E-3</v>
      </c>
      <c r="K167" s="195">
        <v>4.2999999999999997E-2</v>
      </c>
      <c r="L167" s="39"/>
      <c r="M167" s="39"/>
      <c r="N167" s="39"/>
      <c r="P167" s="66"/>
    </row>
    <row r="168" spans="1:29">
      <c r="A168" s="47">
        <v>0.08</v>
      </c>
      <c r="B168" s="12" t="s">
        <v>24</v>
      </c>
      <c r="C168" s="87">
        <v>3.0000000000000001E-3</v>
      </c>
      <c r="D168" s="84">
        <v>4.0000000000000001E-3</v>
      </c>
      <c r="E168" s="85">
        <v>0.01</v>
      </c>
      <c r="F168" s="84">
        <v>1.0999999999999999E-2</v>
      </c>
      <c r="G168" s="84">
        <v>6.7000000000000004E-2</v>
      </c>
      <c r="H168" s="84">
        <v>9.2999999999999999E-2</v>
      </c>
      <c r="I168" s="84">
        <v>7.1999999999999995E-2</v>
      </c>
      <c r="J168" s="84">
        <v>0.105</v>
      </c>
      <c r="K168" s="196">
        <v>0.28199999999999997</v>
      </c>
      <c r="L168" s="39"/>
      <c r="M168" s="39"/>
      <c r="N168" s="39"/>
      <c r="P168" s="66"/>
      <c r="Z168" s="1"/>
      <c r="AA168" s="12"/>
      <c r="AB168" s="12"/>
      <c r="AC168" s="12"/>
    </row>
    <row r="169" spans="1:29">
      <c r="A169" s="47">
        <v>0.21</v>
      </c>
      <c r="B169" s="12" t="s">
        <v>28</v>
      </c>
      <c r="C169" s="87">
        <v>7.7999999999999996E-3</v>
      </c>
      <c r="D169" s="84">
        <v>8.6E-3</v>
      </c>
      <c r="E169" s="85">
        <v>1.2999999999999999E-3</v>
      </c>
      <c r="F169" s="84">
        <v>5.9999999999999995E-4</v>
      </c>
      <c r="G169" s="84">
        <v>7.0000000000000001E-3</v>
      </c>
      <c r="H169" s="84">
        <v>2.9000000000000001E-2</v>
      </c>
      <c r="I169" s="84">
        <v>2.1000000000000001E-2</v>
      </c>
      <c r="J169" s="84">
        <v>4.5999999999999999E-2</v>
      </c>
      <c r="K169" s="196">
        <v>0.19800000000000001</v>
      </c>
      <c r="L169" s="39"/>
      <c r="M169" s="39"/>
      <c r="N169" s="39"/>
      <c r="P169" s="66"/>
      <c r="AB169" s="38"/>
      <c r="AC169" s="38"/>
    </row>
    <row r="170" spans="1:29">
      <c r="A170" s="47">
        <v>0.12</v>
      </c>
      <c r="B170" s="82" t="s">
        <v>173</v>
      </c>
      <c r="C170" s="87">
        <v>3.7999999999999999E-2</v>
      </c>
      <c r="D170" s="84">
        <v>1.7000000000000001E-2</v>
      </c>
      <c r="E170" s="85">
        <v>5.0000000000000001E-4</v>
      </c>
      <c r="F170" s="84">
        <v>6.9999999999999999E-4</v>
      </c>
      <c r="G170" s="84">
        <v>1.1000000000000001E-3</v>
      </c>
      <c r="H170" s="84">
        <v>0.22</v>
      </c>
      <c r="I170" s="84">
        <v>7.3999999999999996E-2</v>
      </c>
      <c r="J170" s="84">
        <v>0.38700000000000001</v>
      </c>
      <c r="K170" s="196">
        <v>4.3250000000000002</v>
      </c>
      <c r="L170" s="39"/>
      <c r="M170" s="39"/>
      <c r="N170" s="39"/>
      <c r="P170" s="66"/>
      <c r="AB170" s="38"/>
      <c r="AC170" s="38"/>
    </row>
    <row r="171" spans="1:29" ht="14" thickBot="1">
      <c r="A171" s="48">
        <v>0</v>
      </c>
      <c r="B171" s="12" t="s">
        <v>29</v>
      </c>
      <c r="C171" s="197">
        <v>1E-3</v>
      </c>
      <c r="D171" s="198">
        <v>1E-3</v>
      </c>
      <c r="E171" s="199">
        <v>1E-3</v>
      </c>
      <c r="F171" s="198">
        <v>0</v>
      </c>
      <c r="G171" s="198">
        <v>0</v>
      </c>
      <c r="H171" s="198">
        <v>0.01</v>
      </c>
      <c r="I171" s="198">
        <v>0</v>
      </c>
      <c r="J171" s="198">
        <v>0.01</v>
      </c>
      <c r="K171" s="200">
        <v>0.01</v>
      </c>
      <c r="L171" s="39"/>
      <c r="M171" s="39"/>
      <c r="N171" s="39"/>
      <c r="P171" s="66"/>
      <c r="AB171" s="38"/>
      <c r="AC171" s="38"/>
    </row>
    <row r="172" spans="1:29">
      <c r="A172" s="13"/>
      <c r="B172" s="12" t="s">
        <v>30</v>
      </c>
      <c r="C172" s="201">
        <f t="shared" ref="C172:K172" si="70">$A167*C167+$A168*C168+$A169*C169+$A171*C171+$A170*C170</f>
        <v>6.4674999999999993E-3</v>
      </c>
      <c r="D172" s="201">
        <f t="shared" si="70"/>
        <v>4.4432999999999999E-3</v>
      </c>
      <c r="E172" s="201">
        <f t="shared" si="70"/>
        <v>1.1919999999999999E-3</v>
      </c>
      <c r="F172" s="201">
        <f t="shared" si="70"/>
        <v>1.1962000000000001E-3</v>
      </c>
      <c r="G172" s="201">
        <f t="shared" si="70"/>
        <v>7.0741000000000007E-3</v>
      </c>
      <c r="H172" s="201">
        <f t="shared" si="70"/>
        <v>4.0696999999999997E-2</v>
      </c>
      <c r="I172" s="201">
        <f t="shared" si="70"/>
        <v>1.9639999999999998E-2</v>
      </c>
      <c r="J172" s="201">
        <f t="shared" si="70"/>
        <v>6.5090000000000009E-2</v>
      </c>
      <c r="K172" s="201">
        <f t="shared" si="70"/>
        <v>0.60851</v>
      </c>
      <c r="L172" s="37"/>
      <c r="M172" s="37"/>
      <c r="N172" s="37"/>
      <c r="Y172" s="38"/>
      <c r="Z172" s="38"/>
    </row>
    <row r="173" spans="1:29">
      <c r="A173" s="13"/>
      <c r="C173" s="13"/>
      <c r="D173" s="13"/>
      <c r="E173" s="13"/>
      <c r="Y173" s="38"/>
      <c r="Z173" s="38"/>
    </row>
    <row r="174" spans="1:29">
      <c r="A174" s="13"/>
      <c r="B174" s="45" t="s">
        <v>109</v>
      </c>
      <c r="D174" s="13"/>
      <c r="K174" s="88" t="s">
        <v>110</v>
      </c>
    </row>
    <row r="175" spans="1:29" ht="18">
      <c r="A175" s="178" t="str">
        <f>A88</f>
        <v>Ffluid1 (aq)</v>
      </c>
      <c r="B175" s="178" t="s">
        <v>23</v>
      </c>
      <c r="C175" s="178" t="s">
        <v>22</v>
      </c>
      <c r="D175" s="178" t="s">
        <v>21</v>
      </c>
      <c r="E175" s="178" t="s">
        <v>15</v>
      </c>
      <c r="F175" s="178" t="s">
        <v>16</v>
      </c>
      <c r="G175" s="178" t="s">
        <v>19</v>
      </c>
      <c r="H175" s="178" t="s">
        <v>18</v>
      </c>
      <c r="I175" s="178" t="s">
        <v>17</v>
      </c>
      <c r="J175" s="178" t="s">
        <v>20</v>
      </c>
      <c r="K175" s="178" t="s">
        <v>129</v>
      </c>
      <c r="L175" s="178" t="s">
        <v>130</v>
      </c>
      <c r="M175" s="178" t="s">
        <v>131</v>
      </c>
      <c r="N175" s="178" t="s">
        <v>132</v>
      </c>
      <c r="O175" s="178" t="s">
        <v>133</v>
      </c>
      <c r="P175" s="178" t="s">
        <v>134</v>
      </c>
      <c r="Q175" s="179" t="s">
        <v>135</v>
      </c>
      <c r="R175" s="179" t="s">
        <v>136</v>
      </c>
      <c r="S175" s="180" t="s">
        <v>85</v>
      </c>
    </row>
    <row r="176" spans="1:29">
      <c r="A176" s="12">
        <f t="shared" ref="A176:A190" si="71">A107</f>
        <v>0</v>
      </c>
      <c r="B176" s="70">
        <f t="shared" ref="B176:J176" si="72">B89/(Melt_fraction+(C$172*(1-Melt_fraction)))</f>
        <v>7.1126499993568348E-2</v>
      </c>
      <c r="C176" s="71">
        <f t="shared" si="72"/>
        <v>0.21347310742144396</v>
      </c>
      <c r="D176" s="71">
        <f t="shared" si="72"/>
        <v>0.37957817085206136</v>
      </c>
      <c r="E176" s="110">
        <f t="shared" si="72"/>
        <v>1.4396862740376073</v>
      </c>
      <c r="F176" s="110">
        <f t="shared" si="72"/>
        <v>147.03752250536814</v>
      </c>
      <c r="G176" s="71">
        <f t="shared" si="72"/>
        <v>2.7479467240302244</v>
      </c>
      <c r="H176" s="71">
        <f t="shared" si="72"/>
        <v>9.0872477747076275</v>
      </c>
      <c r="I176" s="71">
        <f t="shared" si="72"/>
        <v>1.6421228439917284</v>
      </c>
      <c r="J176" s="71">
        <f t="shared" si="72"/>
        <v>9.9683638940163549E-2</v>
      </c>
      <c r="K176" s="70">
        <f t="shared" ref="K176:K189" si="73">L127</f>
        <v>17.589688322972172</v>
      </c>
      <c r="L176" s="71">
        <f t="shared" ref="L176:R176" si="74">M127</f>
        <v>15.408330676316353</v>
      </c>
      <c r="M176" s="71">
        <f t="shared" si="74"/>
        <v>37.028814251486352</v>
      </c>
      <c r="N176" s="72">
        <f t="shared" si="74"/>
        <v>0.70230594880039665</v>
      </c>
      <c r="O176" s="72">
        <f t="shared" si="74"/>
        <v>0.51292453404694993</v>
      </c>
      <c r="P176" s="72">
        <f t="shared" si="74"/>
        <v>0.28307144219893121</v>
      </c>
      <c r="Q176" s="71">
        <f t="shared" si="74"/>
        <v>10.779543408268033</v>
      </c>
      <c r="R176" s="73">
        <f t="shared" si="74"/>
        <v>14.603082534840883</v>
      </c>
    </row>
    <row r="177" spans="1:19">
      <c r="A177" s="12">
        <f t="shared" si="71"/>
        <v>1E-3</v>
      </c>
      <c r="B177" s="74">
        <f t="shared" ref="B177:J177" si="75">B90/(Melt_fraction+(C$172*(1-Melt_fraction)))</f>
        <v>0.13455809635219421</v>
      </c>
      <c r="C177" s="57">
        <f t="shared" si="75"/>
        <v>0.21592979957119016</v>
      </c>
      <c r="D177" s="57">
        <f t="shared" si="75"/>
        <v>0.86541532396342424</v>
      </c>
      <c r="E177" s="111">
        <f t="shared" si="75"/>
        <v>8.2163877263604004</v>
      </c>
      <c r="F177" s="111">
        <f t="shared" si="75"/>
        <v>203.58335243570804</v>
      </c>
      <c r="G177" s="57">
        <f t="shared" si="75"/>
        <v>2.9448812775061839</v>
      </c>
      <c r="H177" s="57">
        <f t="shared" si="75"/>
        <v>10.452359880502057</v>
      </c>
      <c r="I177" s="57">
        <f t="shared" si="75"/>
        <v>1.6617586723065472</v>
      </c>
      <c r="J177" s="57">
        <f t="shared" si="75"/>
        <v>0.10067588038849405</v>
      </c>
      <c r="K177" s="74">
        <f t="shared" si="73"/>
        <v>17.856178462850899</v>
      </c>
      <c r="L177" s="57">
        <f t="shared" ref="L177:R189" si="76">M128</f>
        <v>15.439327891123757</v>
      </c>
      <c r="M177" s="57">
        <f t="shared" si="76"/>
        <v>37.459987698944488</v>
      </c>
      <c r="N177" s="75">
        <f t="shared" si="76"/>
        <v>0.70268942023194303</v>
      </c>
      <c r="O177" s="75">
        <f t="shared" si="76"/>
        <v>0.51292553487481163</v>
      </c>
      <c r="P177" s="75">
        <f t="shared" si="76"/>
        <v>0.28307125294100755</v>
      </c>
      <c r="Q177" s="57">
        <f t="shared" si="76"/>
        <v>10.799076626937243</v>
      </c>
      <c r="R177" s="76">
        <f t="shared" si="76"/>
        <v>14.596386900089797</v>
      </c>
    </row>
    <row r="178" spans="1:19">
      <c r="A178" s="12">
        <f t="shared" si="71"/>
        <v>2E-3</v>
      </c>
      <c r="B178" s="74">
        <f t="shared" ref="B178:J178" si="77">B91/(Melt_fraction+(C$172*(1-Melt_fraction)))</f>
        <v>0.19798969271082006</v>
      </c>
      <c r="C178" s="57">
        <f t="shared" si="77"/>
        <v>0.21838649172093633</v>
      </c>
      <c r="D178" s="57">
        <f t="shared" si="77"/>
        <v>1.3512524770747871</v>
      </c>
      <c r="E178" s="111">
        <f t="shared" si="77"/>
        <v>14.993089178683194</v>
      </c>
      <c r="F178" s="111">
        <f t="shared" si="77"/>
        <v>260.12918236604793</v>
      </c>
      <c r="G178" s="57">
        <f t="shared" si="77"/>
        <v>3.1418158309821429</v>
      </c>
      <c r="H178" s="57">
        <f t="shared" si="77"/>
        <v>11.81747198629648</v>
      </c>
      <c r="I178" s="57">
        <f t="shared" si="77"/>
        <v>1.681394500621366</v>
      </c>
      <c r="J178" s="57">
        <f t="shared" si="77"/>
        <v>0.10166812183682453</v>
      </c>
      <c r="K178" s="74">
        <f t="shared" si="73"/>
        <v>17.931037781565532</v>
      </c>
      <c r="L178" s="57">
        <f t="shared" si="76"/>
        <v>15.448035269128772</v>
      </c>
      <c r="M178" s="57">
        <f t="shared" si="76"/>
        <v>37.581107942039573</v>
      </c>
      <c r="N178" s="75">
        <f t="shared" si="76"/>
        <v>0.70290617672474898</v>
      </c>
      <c r="O178" s="75">
        <f t="shared" si="76"/>
        <v>0.51292630447856202</v>
      </c>
      <c r="P178" s="75">
        <f t="shared" si="76"/>
        <v>0.28307106810350541</v>
      </c>
      <c r="Q178" s="57">
        <f t="shared" si="76"/>
        <v>10.814097030464875</v>
      </c>
      <c r="R178" s="76">
        <f t="shared" si="76"/>
        <v>14.58984765259741</v>
      </c>
    </row>
    <row r="179" spans="1:19">
      <c r="A179" s="12">
        <f t="shared" si="71"/>
        <v>5.0000000000000001E-3</v>
      </c>
      <c r="B179" s="74">
        <f t="shared" ref="B179:J179" si="78">B92/(Melt_fraction+(C$172*(1-Melt_fraction)))</f>
        <v>0.38828448178669761</v>
      </c>
      <c r="C179" s="57">
        <f t="shared" si="78"/>
        <v>0.22575656817017486</v>
      </c>
      <c r="D179" s="57">
        <f t="shared" si="78"/>
        <v>2.8087639364088757</v>
      </c>
      <c r="E179" s="111">
        <f t="shared" si="78"/>
        <v>35.323193535651569</v>
      </c>
      <c r="F179" s="111">
        <f t="shared" si="78"/>
        <v>429.76667215706766</v>
      </c>
      <c r="G179" s="57">
        <f t="shared" si="78"/>
        <v>3.7326194914100204</v>
      </c>
      <c r="H179" s="57">
        <f t="shared" si="78"/>
        <v>15.912808303679762</v>
      </c>
      <c r="I179" s="57">
        <f t="shared" si="78"/>
        <v>1.7403019855658228</v>
      </c>
      <c r="J179" s="57">
        <f t="shared" si="78"/>
        <v>0.10464484618181602</v>
      </c>
      <c r="K179" s="74">
        <f t="shared" si="73"/>
        <v>18.000233060724447</v>
      </c>
      <c r="L179" s="57">
        <f t="shared" si="76"/>
        <v>15.456083825569637</v>
      </c>
      <c r="M179" s="57">
        <f t="shared" si="76"/>
        <v>37.693063930641465</v>
      </c>
      <c r="N179" s="75">
        <f t="shared" si="76"/>
        <v>0.70321421373408377</v>
      </c>
      <c r="O179" s="75">
        <f t="shared" si="76"/>
        <v>0.51292782102583834</v>
      </c>
      <c r="P179" s="75">
        <f t="shared" si="76"/>
        <v>0.28307053861725845</v>
      </c>
      <c r="Q179" s="57">
        <f t="shared" si="76"/>
        <v>10.843695576532308</v>
      </c>
      <c r="R179" s="76">
        <f t="shared" si="76"/>
        <v>14.571115298107618</v>
      </c>
    </row>
    <row r="180" spans="1:19">
      <c r="A180" s="12">
        <f t="shared" si="71"/>
        <v>0.01</v>
      </c>
      <c r="B180" s="74">
        <f t="shared" ref="B180:J180" si="79">B93/(Melt_fraction+(C$172*(1-Melt_fraction)))</f>
        <v>0.70544246357982676</v>
      </c>
      <c r="C180" s="57">
        <f t="shared" si="79"/>
        <v>0.23804002891890577</v>
      </c>
      <c r="D180" s="57">
        <f t="shared" si="79"/>
        <v>5.2379497019656904</v>
      </c>
      <c r="E180" s="111">
        <f t="shared" si="79"/>
        <v>69.206700797265526</v>
      </c>
      <c r="F180" s="111">
        <f t="shared" si="79"/>
        <v>712.49582180876712</v>
      </c>
      <c r="G180" s="57">
        <f t="shared" si="79"/>
        <v>4.7172922587898167</v>
      </c>
      <c r="H180" s="57">
        <f t="shared" si="79"/>
        <v>22.738368832651897</v>
      </c>
      <c r="I180" s="57">
        <f t="shared" si="79"/>
        <v>1.8384811271399171</v>
      </c>
      <c r="J180" s="57">
        <f t="shared" si="79"/>
        <v>0.10960605342346848</v>
      </c>
      <c r="K180" s="74">
        <f t="shared" si="73"/>
        <v>18.029983980354402</v>
      </c>
      <c r="L180" s="57">
        <f t="shared" si="76"/>
        <v>15.459544350026215</v>
      </c>
      <c r="M180" s="57">
        <f t="shared" si="76"/>
        <v>37.741200070266501</v>
      </c>
      <c r="N180" s="75">
        <f t="shared" si="76"/>
        <v>0.70340165206219751</v>
      </c>
      <c r="O180" s="75">
        <f t="shared" si="76"/>
        <v>0.5129291346465209</v>
      </c>
      <c r="P180" s="75">
        <f t="shared" si="76"/>
        <v>0.28306973154228537</v>
      </c>
      <c r="Q180" s="57">
        <f t="shared" si="76"/>
        <v>10.869333591843056</v>
      </c>
      <c r="R180" s="76">
        <f t="shared" si="76"/>
        <v>14.542562310033702</v>
      </c>
    </row>
    <row r="181" spans="1:19">
      <c r="A181" s="12">
        <f t="shared" si="71"/>
        <v>0.02</v>
      </c>
      <c r="B181" s="74">
        <f t="shared" ref="B181:J181" si="80">B94/(Melt_fraction+(C$172*(1-Melt_fraction)))</f>
        <v>1.3397584271660852</v>
      </c>
      <c r="C181" s="57">
        <f t="shared" si="80"/>
        <v>0.26260695041636761</v>
      </c>
      <c r="D181" s="57">
        <f t="shared" si="80"/>
        <v>10.096321233079319</v>
      </c>
      <c r="E181" s="111">
        <f t="shared" si="80"/>
        <v>136.97371532049348</v>
      </c>
      <c r="F181" s="111">
        <f t="shared" si="80"/>
        <v>1277.9541211121661</v>
      </c>
      <c r="G181" s="57">
        <f t="shared" si="80"/>
        <v>6.6866377935494086</v>
      </c>
      <c r="H181" s="57">
        <f t="shared" si="80"/>
        <v>36.389489890596167</v>
      </c>
      <c r="I181" s="57">
        <f t="shared" si="80"/>
        <v>2.0348394102881056</v>
      </c>
      <c r="J181" s="57">
        <f t="shared" si="80"/>
        <v>0.11952846790677338</v>
      </c>
      <c r="K181" s="74">
        <f t="shared" si="73"/>
        <v>18.046537199730555</v>
      </c>
      <c r="L181" s="57">
        <f t="shared" si="76"/>
        <v>15.461469763465491</v>
      </c>
      <c r="M181" s="57">
        <f t="shared" si="76"/>
        <v>37.767982707208319</v>
      </c>
      <c r="N181" s="75">
        <f t="shared" si="76"/>
        <v>0.70352772035397315</v>
      </c>
      <c r="O181" s="75">
        <f t="shared" si="76"/>
        <v>0.51293028351638248</v>
      </c>
      <c r="P181" s="75">
        <f t="shared" si="76"/>
        <v>0.2830683510361176</v>
      </c>
      <c r="Q181" s="57">
        <f t="shared" si="76"/>
        <v>10.891756155291255</v>
      </c>
      <c r="R181" s="76">
        <f t="shared" si="76"/>
        <v>14.493722267336917</v>
      </c>
    </row>
    <row r="182" spans="1:19">
      <c r="A182" s="12">
        <f t="shared" si="71"/>
        <v>0.03</v>
      </c>
      <c r="B182" s="74">
        <f t="shared" ref="B182:J182" si="81">B95/(Melt_fraction+(C$172*(1-Melt_fraction)))</f>
        <v>1.9740743907523435</v>
      </c>
      <c r="C182" s="57">
        <f t="shared" si="81"/>
        <v>0.28717387191382943</v>
      </c>
      <c r="D182" s="57">
        <f t="shared" si="81"/>
        <v>14.954692764192947</v>
      </c>
      <c r="E182" s="111">
        <f t="shared" si="81"/>
        <v>204.74072984372137</v>
      </c>
      <c r="F182" s="111">
        <f t="shared" si="81"/>
        <v>1843.4124204155651</v>
      </c>
      <c r="G182" s="57">
        <f t="shared" si="81"/>
        <v>8.6559833283090004</v>
      </c>
      <c r="H182" s="57">
        <f t="shared" si="81"/>
        <v>50.040610948540433</v>
      </c>
      <c r="I182" s="57">
        <f t="shared" si="81"/>
        <v>2.2311976934362945</v>
      </c>
      <c r="J182" s="57">
        <f t="shared" si="81"/>
        <v>0.12945088239007826</v>
      </c>
      <c r="K182" s="74">
        <f t="shared" si="73"/>
        <v>18.052335040706968</v>
      </c>
      <c r="L182" s="57">
        <f t="shared" si="76"/>
        <v>15.462144148349852</v>
      </c>
      <c r="M182" s="57">
        <f t="shared" si="76"/>
        <v>37.777363448584914</v>
      </c>
      <c r="N182" s="75">
        <f t="shared" si="76"/>
        <v>0.70357644690596866</v>
      </c>
      <c r="O182" s="75">
        <f t="shared" si="76"/>
        <v>0.5129308055609012</v>
      </c>
      <c r="P182" s="75">
        <f t="shared" si="76"/>
        <v>0.28306721351498138</v>
      </c>
      <c r="Q182" s="57">
        <f t="shared" si="76"/>
        <v>10.901944930132856</v>
      </c>
      <c r="R182" s="76">
        <f t="shared" si="76"/>
        <v>14.4534786362982</v>
      </c>
    </row>
    <row r="183" spans="1:19">
      <c r="A183" s="12">
        <f t="shared" si="71"/>
        <v>0.04</v>
      </c>
      <c r="B183" s="74">
        <f t="shared" ref="B183:J183" si="82">B96/(Melt_fraction+(C$172*(1-Melt_fraction)))</f>
        <v>2.608390354338602</v>
      </c>
      <c r="C183" s="57">
        <f t="shared" si="82"/>
        <v>0.31174079341129118</v>
      </c>
      <c r="D183" s="57">
        <f t="shared" si="82"/>
        <v>19.813064295306578</v>
      </c>
      <c r="E183" s="111">
        <f t="shared" si="82"/>
        <v>272.50774436694934</v>
      </c>
      <c r="F183" s="111">
        <f t="shared" si="82"/>
        <v>2408.8707197189642</v>
      </c>
      <c r="G183" s="57">
        <f t="shared" si="82"/>
        <v>10.625328863068592</v>
      </c>
      <c r="H183" s="57">
        <f t="shared" si="82"/>
        <v>63.691732006484699</v>
      </c>
      <c r="I183" s="57">
        <f t="shared" si="82"/>
        <v>2.4275559765844834</v>
      </c>
      <c r="J183" s="57">
        <f t="shared" si="82"/>
        <v>0.13937329687338318</v>
      </c>
      <c r="K183" s="74">
        <f t="shared" si="73"/>
        <v>18.055289498638544</v>
      </c>
      <c r="L183" s="57">
        <f t="shared" si="76"/>
        <v>15.462487800716072</v>
      </c>
      <c r="M183" s="57">
        <f t="shared" si="76"/>
        <v>37.782143677272948</v>
      </c>
      <c r="N183" s="75">
        <f t="shared" si="76"/>
        <v>0.70360229731687729</v>
      </c>
      <c r="O183" s="75">
        <f t="shared" si="76"/>
        <v>0.51293110382463403</v>
      </c>
      <c r="P183" s="75">
        <f t="shared" si="76"/>
        <v>0.28306626001571689</v>
      </c>
      <c r="Q183" s="57">
        <f t="shared" si="76"/>
        <v>10.907766161671884</v>
      </c>
      <c r="R183" s="76">
        <f t="shared" si="76"/>
        <v>14.419745397089567</v>
      </c>
    </row>
    <row r="184" spans="1:19">
      <c r="A184" s="12">
        <f t="shared" si="71"/>
        <v>0.05</v>
      </c>
      <c r="B184" s="74">
        <f t="shared" ref="B184:J184" si="83">B97/(Melt_fraction+(C$172*(1-Melt_fraction)))</f>
        <v>3.2427063179248607</v>
      </c>
      <c r="C184" s="57">
        <f t="shared" si="83"/>
        <v>0.336307714908753</v>
      </c>
      <c r="D184" s="57">
        <f t="shared" si="83"/>
        <v>24.671435826420208</v>
      </c>
      <c r="E184" s="111">
        <f t="shared" si="83"/>
        <v>340.27475889017728</v>
      </c>
      <c r="F184" s="111">
        <f t="shared" si="83"/>
        <v>2974.3290190223634</v>
      </c>
      <c r="G184" s="57">
        <f t="shared" si="83"/>
        <v>12.594674397828184</v>
      </c>
      <c r="H184" s="57">
        <f t="shared" si="83"/>
        <v>77.342853064428965</v>
      </c>
      <c r="I184" s="57">
        <f t="shared" si="83"/>
        <v>2.6239142597326719</v>
      </c>
      <c r="J184" s="57">
        <f t="shared" si="83"/>
        <v>0.14929571135668812</v>
      </c>
      <c r="K184" s="74">
        <f t="shared" si="73"/>
        <v>18.057080355521073</v>
      </c>
      <c r="L184" s="57">
        <f t="shared" si="76"/>
        <v>15.46269610701777</v>
      </c>
      <c r="M184" s="57">
        <f t="shared" si="76"/>
        <v>37.785041232643266</v>
      </c>
      <c r="N184" s="75">
        <f t="shared" si="76"/>
        <v>0.70361831873489689</v>
      </c>
      <c r="O184" s="75">
        <f t="shared" si="76"/>
        <v>0.51293129680044003</v>
      </c>
      <c r="P184" s="75">
        <f t="shared" si="76"/>
        <v>0.28306544922498633</v>
      </c>
      <c r="Q184" s="57">
        <f t="shared" si="76"/>
        <v>10.911532482296149</v>
      </c>
      <c r="R184" s="76">
        <f t="shared" si="76"/>
        <v>14.391060951612911</v>
      </c>
    </row>
    <row r="185" spans="1:19">
      <c r="A185" s="12">
        <f t="shared" si="71"/>
        <v>6.0000000000000005E-2</v>
      </c>
      <c r="B185" s="74">
        <f t="shared" ref="B185:J185" si="84">B98/(Melt_fraction+(C$172*(1-Melt_fraction)))</f>
        <v>3.8770222815111191</v>
      </c>
      <c r="C185" s="57">
        <f t="shared" si="84"/>
        <v>0.36087463640621487</v>
      </c>
      <c r="D185" s="57">
        <f t="shared" si="84"/>
        <v>29.529807357533837</v>
      </c>
      <c r="E185" s="111">
        <f t="shared" si="84"/>
        <v>408.04177341340517</v>
      </c>
      <c r="F185" s="111">
        <f t="shared" si="84"/>
        <v>3539.787318325762</v>
      </c>
      <c r="G185" s="57">
        <f t="shared" si="84"/>
        <v>14.564019932587778</v>
      </c>
      <c r="H185" s="57">
        <f t="shared" si="84"/>
        <v>90.993974122373245</v>
      </c>
      <c r="I185" s="57">
        <f t="shared" si="84"/>
        <v>2.8202725428808613</v>
      </c>
      <c r="J185" s="57">
        <f t="shared" si="84"/>
        <v>0.15921812583999301</v>
      </c>
      <c r="K185" s="74">
        <f t="shared" si="73"/>
        <v>18.058281933375191</v>
      </c>
      <c r="L185" s="57">
        <f t="shared" si="76"/>
        <v>15.462835870413404</v>
      </c>
      <c r="M185" s="57">
        <f t="shared" si="76"/>
        <v>37.78698535134869</v>
      </c>
      <c r="N185" s="75">
        <f t="shared" si="76"/>
        <v>0.70362922151556861</v>
      </c>
      <c r="O185" s="75">
        <f t="shared" si="76"/>
        <v>0.51293143187491541</v>
      </c>
      <c r="P185" s="75">
        <f t="shared" si="76"/>
        <v>0.2830647513350294</v>
      </c>
      <c r="Q185" s="57">
        <f t="shared" si="76"/>
        <v>10.914168739104557</v>
      </c>
      <c r="R185" s="76">
        <f t="shared" si="76"/>
        <v>14.366370750229507</v>
      </c>
    </row>
    <row r="186" spans="1:19">
      <c r="A186" s="12">
        <f t="shared" si="71"/>
        <v>7.0000000000000007E-2</v>
      </c>
      <c r="B186" s="74">
        <f t="shared" ref="B186:J186" si="85">B99/(Melt_fraction+(C$172*(1-Melt_fraction)))</f>
        <v>4.5113382450973782</v>
      </c>
      <c r="C186" s="57">
        <f t="shared" si="85"/>
        <v>0.38544155790367662</v>
      </c>
      <c r="D186" s="57">
        <f t="shared" si="85"/>
        <v>34.388178888647474</v>
      </c>
      <c r="E186" s="111">
        <f t="shared" si="85"/>
        <v>475.80878793663317</v>
      </c>
      <c r="F186" s="111">
        <f t="shared" si="85"/>
        <v>4105.2456176291607</v>
      </c>
      <c r="G186" s="57">
        <f t="shared" si="85"/>
        <v>16.53336546734737</v>
      </c>
      <c r="H186" s="57">
        <f t="shared" si="85"/>
        <v>104.64509518031751</v>
      </c>
      <c r="I186" s="57">
        <f t="shared" si="85"/>
        <v>3.0166308260290493</v>
      </c>
      <c r="J186" s="57">
        <f t="shared" si="85"/>
        <v>0.16914054032329792</v>
      </c>
      <c r="K186" s="74">
        <f t="shared" si="73"/>
        <v>18.059143992718727</v>
      </c>
      <c r="L186" s="57">
        <f t="shared" si="76"/>
        <v>15.462936142185786</v>
      </c>
      <c r="M186" s="57">
        <f t="shared" si="76"/>
        <v>37.78838013878525</v>
      </c>
      <c r="N186" s="75">
        <f t="shared" si="76"/>
        <v>0.70363712078883012</v>
      </c>
      <c r="O186" s="75">
        <f t="shared" si="76"/>
        <v>0.51293153170802541</v>
      </c>
      <c r="P186" s="75">
        <f t="shared" si="76"/>
        <v>0.28306414429906268</v>
      </c>
      <c r="Q186" s="57">
        <f t="shared" si="76"/>
        <v>10.916117188026764</v>
      </c>
      <c r="R186" s="76">
        <f t="shared" si="76"/>
        <v>14.344894813920206</v>
      </c>
    </row>
    <row r="187" spans="1:19">
      <c r="A187" s="12">
        <f t="shared" si="71"/>
        <v>0.08</v>
      </c>
      <c r="B187" s="74">
        <f t="shared" ref="B187:J187" si="86">B100/(Melt_fraction+(C$172*(1-Melt_fraction)))</f>
        <v>5.1456542086836361</v>
      </c>
      <c r="C187" s="57">
        <f t="shared" si="86"/>
        <v>0.41000847940113844</v>
      </c>
      <c r="D187" s="57">
        <f t="shared" si="86"/>
        <v>39.246550419761093</v>
      </c>
      <c r="E187" s="111">
        <f t="shared" si="86"/>
        <v>543.57580245986105</v>
      </c>
      <c r="F187" s="111">
        <f t="shared" si="86"/>
        <v>4670.7039169325608</v>
      </c>
      <c r="G187" s="57">
        <f t="shared" si="86"/>
        <v>18.50271100210696</v>
      </c>
      <c r="H187" s="57">
        <f t="shared" si="86"/>
        <v>118.29621623826178</v>
      </c>
      <c r="I187" s="57">
        <f t="shared" si="86"/>
        <v>3.2129891091772382</v>
      </c>
      <c r="J187" s="57">
        <f t="shared" si="86"/>
        <v>0.17906295480660286</v>
      </c>
      <c r="K187" s="74">
        <f t="shared" si="73"/>
        <v>18.059792621606444</v>
      </c>
      <c r="L187" s="57">
        <f t="shared" si="76"/>
        <v>15.463011588462981</v>
      </c>
      <c r="M187" s="57">
        <f t="shared" si="76"/>
        <v>37.789429601830165</v>
      </c>
      <c r="N187" s="75">
        <f t="shared" si="76"/>
        <v>0.70364310741264802</v>
      </c>
      <c r="O187" s="75">
        <f t="shared" si="76"/>
        <v>0.51293160850009634</v>
      </c>
      <c r="P187" s="75">
        <f t="shared" si="76"/>
        <v>0.28306361145976205</v>
      </c>
      <c r="Q187" s="57">
        <f t="shared" si="76"/>
        <v>10.917615943577541</v>
      </c>
      <c r="R187" s="76">
        <f t="shared" si="76"/>
        <v>14.326043833894353</v>
      </c>
    </row>
    <row r="188" spans="1:19">
      <c r="A188" s="12">
        <f t="shared" si="71"/>
        <v>0.09</v>
      </c>
      <c r="B188" s="74">
        <f t="shared" ref="B188:J188" si="87">B101/(Melt_fraction+(C$172*(1-Melt_fraction)))</f>
        <v>5.7799701722698931</v>
      </c>
      <c r="C188" s="57">
        <f t="shared" si="87"/>
        <v>0.43457540089860019</v>
      </c>
      <c r="D188" s="57">
        <f t="shared" si="87"/>
        <v>44.104921950874719</v>
      </c>
      <c r="E188" s="111">
        <f t="shared" si="87"/>
        <v>611.34281698308894</v>
      </c>
      <c r="F188" s="111">
        <f t="shared" si="87"/>
        <v>5236.162216235959</v>
      </c>
      <c r="G188" s="57">
        <f t="shared" si="87"/>
        <v>20.47205653686655</v>
      </c>
      <c r="H188" s="57">
        <f t="shared" si="87"/>
        <v>131.94733729620606</v>
      </c>
      <c r="I188" s="57">
        <f t="shared" si="87"/>
        <v>3.4093473923254272</v>
      </c>
      <c r="J188" s="57">
        <f t="shared" si="87"/>
        <v>0.18898536928990775</v>
      </c>
      <c r="K188" s="74">
        <f t="shared" si="73"/>
        <v>18.060298351244697</v>
      </c>
      <c r="L188" s="57">
        <f t="shared" si="76"/>
        <v>15.463070413191875</v>
      </c>
      <c r="M188" s="57">
        <f t="shared" si="76"/>
        <v>37.790247857964161</v>
      </c>
      <c r="N188" s="75">
        <f t="shared" si="76"/>
        <v>0.70364780103369684</v>
      </c>
      <c r="O188" s="75">
        <f t="shared" si="76"/>
        <v>0.5129316694025271</v>
      </c>
      <c r="P188" s="75">
        <f t="shared" si="76"/>
        <v>0.2830631399972578</v>
      </c>
      <c r="Q188" s="57">
        <f t="shared" si="76"/>
        <v>10.918804580049013</v>
      </c>
      <c r="R188" s="76">
        <f t="shared" si="76"/>
        <v>14.309364264202262</v>
      </c>
    </row>
    <row r="189" spans="1:19">
      <c r="A189" s="12">
        <f t="shared" si="71"/>
        <v>9.9999999999999992E-2</v>
      </c>
      <c r="B189" s="77">
        <f t="shared" ref="B189:J189" si="88">B102/(Melt_fraction+(C$172*(1-Melt_fraction)))</f>
        <v>6.4142861358561518</v>
      </c>
      <c r="C189" s="78">
        <f t="shared" si="88"/>
        <v>0.45914232239606201</v>
      </c>
      <c r="D189" s="78">
        <f t="shared" si="88"/>
        <v>48.963293481988345</v>
      </c>
      <c r="E189" s="112">
        <f t="shared" si="88"/>
        <v>679.10983150631682</v>
      </c>
      <c r="F189" s="112">
        <f t="shared" si="88"/>
        <v>5801.6205155393573</v>
      </c>
      <c r="G189" s="78">
        <f t="shared" si="88"/>
        <v>22.441402071626143</v>
      </c>
      <c r="H189" s="78">
        <f t="shared" si="88"/>
        <v>145.5984583541503</v>
      </c>
      <c r="I189" s="78">
        <f t="shared" si="88"/>
        <v>3.6057056754736152</v>
      </c>
      <c r="J189" s="78">
        <f t="shared" si="88"/>
        <v>0.19890778377321267</v>
      </c>
      <c r="K189" s="77">
        <f t="shared" si="73"/>
        <v>18.060703719068929</v>
      </c>
      <c r="L189" s="78">
        <f t="shared" si="76"/>
        <v>15.463117564180385</v>
      </c>
      <c r="M189" s="78">
        <f t="shared" si="76"/>
        <v>37.790903731544866</v>
      </c>
      <c r="N189" s="79">
        <f t="shared" si="76"/>
        <v>0.70365157972176473</v>
      </c>
      <c r="O189" s="79">
        <f t="shared" si="76"/>
        <v>0.51293171888469358</v>
      </c>
      <c r="P189" s="79">
        <f t="shared" si="76"/>
        <v>0.28306271988424037</v>
      </c>
      <c r="Q189" s="78">
        <f t="shared" si="76"/>
        <v>10.919770326522915</v>
      </c>
      <c r="R189" s="80">
        <f t="shared" si="76"/>
        <v>14.294501355083256</v>
      </c>
    </row>
    <row r="190" spans="1:19">
      <c r="A190" s="12">
        <f t="shared" si="71"/>
        <v>1</v>
      </c>
      <c r="B190" s="57">
        <f t="shared" ref="B190:J190" si="89">B103/(Melt_fraction+(C$172*(1-Melt_fraction)))</f>
        <v>63.502722858619414</v>
      </c>
      <c r="C190" s="57">
        <f t="shared" si="89"/>
        <v>2.6701652571676249</v>
      </c>
      <c r="D190" s="57">
        <f t="shared" si="89"/>
        <v>486.21673128221499</v>
      </c>
      <c r="E190" s="111">
        <f t="shared" si="89"/>
        <v>6778.1411385968304</v>
      </c>
      <c r="F190" s="111">
        <f t="shared" si="89"/>
        <v>56692.867452845268</v>
      </c>
      <c r="G190" s="57">
        <f t="shared" si="89"/>
        <v>199.68250019998942</v>
      </c>
      <c r="H190" s="57">
        <f t="shared" si="89"/>
        <v>1374.1993535691345</v>
      </c>
      <c r="I190" s="57">
        <f t="shared" si="89"/>
        <v>21.277951158810602</v>
      </c>
      <c r="J190" s="57">
        <f t="shared" si="89"/>
        <v>1.0919250872706547</v>
      </c>
      <c r="K190" s="57"/>
      <c r="L190" s="57"/>
      <c r="M190" s="57"/>
      <c r="N190" s="57"/>
      <c r="O190" s="57"/>
      <c r="P190" s="57"/>
      <c r="Q190" s="57"/>
      <c r="R190" s="57"/>
    </row>
    <row r="191" spans="1:19">
      <c r="A191" s="13"/>
      <c r="B191" s="58"/>
      <c r="C191" s="58"/>
      <c r="D191" s="58"/>
      <c r="E191" s="58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9" ht="18">
      <c r="A192" s="206" t="str">
        <f t="shared" ref="A192:A207" si="90">A106</f>
        <v>Ffluid1 (melt)</v>
      </c>
      <c r="B192" s="211" t="s">
        <v>23</v>
      </c>
      <c r="C192" s="211" t="s">
        <v>22</v>
      </c>
      <c r="D192" s="211" t="s">
        <v>21</v>
      </c>
      <c r="E192" s="211" t="s">
        <v>15</v>
      </c>
      <c r="F192" s="211" t="s">
        <v>16</v>
      </c>
      <c r="G192" s="211" t="s">
        <v>19</v>
      </c>
      <c r="H192" s="211" t="s">
        <v>18</v>
      </c>
      <c r="I192" s="211" t="s">
        <v>17</v>
      </c>
      <c r="J192" s="211" t="s">
        <v>20</v>
      </c>
      <c r="K192" s="206" t="s">
        <v>159</v>
      </c>
      <c r="L192" s="206" t="s">
        <v>160</v>
      </c>
      <c r="M192" s="206" t="s">
        <v>161</v>
      </c>
      <c r="N192" s="206" t="s">
        <v>162</v>
      </c>
      <c r="O192" s="206" t="s">
        <v>163</v>
      </c>
      <c r="P192" s="206" t="s">
        <v>164</v>
      </c>
      <c r="Q192" s="209" t="s">
        <v>165</v>
      </c>
      <c r="R192" s="209" t="s">
        <v>166</v>
      </c>
      <c r="S192" s="212" t="s">
        <v>85</v>
      </c>
    </row>
    <row r="193" spans="1:20">
      <c r="A193" s="12">
        <f t="shared" si="90"/>
        <v>0</v>
      </c>
      <c r="B193" s="70">
        <f t="shared" ref="B193:J193" si="91">B107/(Melt_fraction+(C$172*(1-Melt_fraction)))</f>
        <v>7.1126499993568348E-2</v>
      </c>
      <c r="C193" s="71">
        <f t="shared" si="91"/>
        <v>0.21347310742144396</v>
      </c>
      <c r="D193" s="71">
        <f t="shared" si="91"/>
        <v>0.37957817085206136</v>
      </c>
      <c r="E193" s="110">
        <f t="shared" si="91"/>
        <v>1.4396862740376073</v>
      </c>
      <c r="F193" s="110">
        <f t="shared" si="91"/>
        <v>147.03752250536814</v>
      </c>
      <c r="G193" s="71">
        <f t="shared" si="91"/>
        <v>2.7479467240302244</v>
      </c>
      <c r="H193" s="71">
        <f t="shared" si="91"/>
        <v>9.0872477747076275</v>
      </c>
      <c r="I193" s="71">
        <f t="shared" si="91"/>
        <v>1.6421228439917284</v>
      </c>
      <c r="J193" s="71">
        <f t="shared" si="91"/>
        <v>9.9683638940163549E-2</v>
      </c>
      <c r="K193" s="70">
        <f t="shared" ref="K193:K206" si="92">L144</f>
        <v>17.589688322972172</v>
      </c>
      <c r="L193" s="71">
        <f t="shared" ref="L193:R193" si="93">M144</f>
        <v>15.408330676316353</v>
      </c>
      <c r="M193" s="71">
        <f t="shared" si="93"/>
        <v>37.028814251486352</v>
      </c>
      <c r="N193" s="72">
        <f t="shared" si="93"/>
        <v>0.70230594880039665</v>
      </c>
      <c r="O193" s="72">
        <f t="shared" si="93"/>
        <v>0.51292453404694993</v>
      </c>
      <c r="P193" s="72">
        <f t="shared" si="93"/>
        <v>0.28307144219893121</v>
      </c>
      <c r="Q193" s="71">
        <f t="shared" si="93"/>
        <v>10.779543408268033</v>
      </c>
      <c r="R193" s="73">
        <f t="shared" si="93"/>
        <v>14.603082534840883</v>
      </c>
    </row>
    <row r="194" spans="1:20">
      <c r="A194" s="12">
        <f t="shared" si="90"/>
        <v>1E-3</v>
      </c>
      <c r="B194" s="74">
        <f t="shared" ref="B194:J194" si="94">B108/(Melt_fraction+(C$172*(1-Melt_fraction)))</f>
        <v>0.13455809635219421</v>
      </c>
      <c r="C194" s="57">
        <f t="shared" si="94"/>
        <v>0.21592979957119016</v>
      </c>
      <c r="D194" s="57">
        <f t="shared" si="94"/>
        <v>0.86541532396342424</v>
      </c>
      <c r="E194" s="111">
        <f t="shared" si="94"/>
        <v>8.2163877263604004</v>
      </c>
      <c r="F194" s="111">
        <f t="shared" si="94"/>
        <v>203.58335243570804</v>
      </c>
      <c r="G194" s="57">
        <f t="shared" si="94"/>
        <v>2.9448812775061839</v>
      </c>
      <c r="H194" s="57">
        <f t="shared" si="94"/>
        <v>10.452359880502057</v>
      </c>
      <c r="I194" s="57">
        <f t="shared" si="94"/>
        <v>1.6617586723065472</v>
      </c>
      <c r="J194" s="57">
        <f t="shared" si="94"/>
        <v>0.10067588038849405</v>
      </c>
      <c r="K194" s="74">
        <f t="shared" si="92"/>
        <v>17.856178462850899</v>
      </c>
      <c r="L194" s="57">
        <f t="shared" ref="L194:R206" si="95">M145</f>
        <v>15.439327891123757</v>
      </c>
      <c r="M194" s="57">
        <f t="shared" si="95"/>
        <v>37.459987698944488</v>
      </c>
      <c r="N194" s="75">
        <f t="shared" si="95"/>
        <v>0.70268942023194303</v>
      </c>
      <c r="O194" s="75">
        <f t="shared" si="95"/>
        <v>0.51292553487481163</v>
      </c>
      <c r="P194" s="75">
        <f t="shared" si="95"/>
        <v>0.28307125294100755</v>
      </c>
      <c r="Q194" s="57">
        <f t="shared" si="95"/>
        <v>10.799076626937243</v>
      </c>
      <c r="R194" s="76">
        <f t="shared" si="95"/>
        <v>14.596386900089797</v>
      </c>
    </row>
    <row r="195" spans="1:20">
      <c r="A195" s="12">
        <f t="shared" si="90"/>
        <v>2E-3</v>
      </c>
      <c r="B195" s="74">
        <f t="shared" ref="B195:J195" si="96">B109/(Melt_fraction+(C$172*(1-Melt_fraction)))</f>
        <v>0.19798969271082006</v>
      </c>
      <c r="C195" s="57">
        <f t="shared" si="96"/>
        <v>0.21838649172093633</v>
      </c>
      <c r="D195" s="57">
        <f t="shared" si="96"/>
        <v>1.3512524770747871</v>
      </c>
      <c r="E195" s="111">
        <f t="shared" si="96"/>
        <v>14.993089178683194</v>
      </c>
      <c r="F195" s="111">
        <f t="shared" si="96"/>
        <v>260.12918236604793</v>
      </c>
      <c r="G195" s="57">
        <f t="shared" si="96"/>
        <v>3.1418158309821429</v>
      </c>
      <c r="H195" s="57">
        <f t="shared" si="96"/>
        <v>11.81747198629648</v>
      </c>
      <c r="I195" s="57">
        <f t="shared" si="96"/>
        <v>1.681394500621366</v>
      </c>
      <c r="J195" s="57">
        <f t="shared" si="96"/>
        <v>0.10166812183682453</v>
      </c>
      <c r="K195" s="74">
        <f t="shared" si="92"/>
        <v>17.931037781565532</v>
      </c>
      <c r="L195" s="57">
        <f t="shared" si="95"/>
        <v>15.448035269128772</v>
      </c>
      <c r="M195" s="57">
        <f t="shared" si="95"/>
        <v>37.581107942039573</v>
      </c>
      <c r="N195" s="75">
        <f t="shared" si="95"/>
        <v>0.70290617672474898</v>
      </c>
      <c r="O195" s="75">
        <f t="shared" si="95"/>
        <v>0.51292630447856202</v>
      </c>
      <c r="P195" s="75">
        <f t="shared" si="95"/>
        <v>0.28307106810350541</v>
      </c>
      <c r="Q195" s="57">
        <f t="shared" si="95"/>
        <v>10.814097030464875</v>
      </c>
      <c r="R195" s="76">
        <f t="shared" si="95"/>
        <v>14.58984765259741</v>
      </c>
    </row>
    <row r="196" spans="1:20">
      <c r="A196" s="12">
        <f t="shared" si="90"/>
        <v>5.0000000000000001E-3</v>
      </c>
      <c r="B196" s="74">
        <f t="shared" ref="B196:J196" si="97">B110/(Melt_fraction+(C$172*(1-Melt_fraction)))</f>
        <v>0.38828448178669761</v>
      </c>
      <c r="C196" s="57">
        <f t="shared" si="97"/>
        <v>0.22575656817017486</v>
      </c>
      <c r="D196" s="57">
        <f t="shared" si="97"/>
        <v>2.8087639364088757</v>
      </c>
      <c r="E196" s="111">
        <f t="shared" si="97"/>
        <v>35.323193535651569</v>
      </c>
      <c r="F196" s="111">
        <f t="shared" si="97"/>
        <v>429.76667215706766</v>
      </c>
      <c r="G196" s="57">
        <f t="shared" si="97"/>
        <v>3.7326194914100204</v>
      </c>
      <c r="H196" s="57">
        <f t="shared" si="97"/>
        <v>15.912808303679762</v>
      </c>
      <c r="I196" s="57">
        <f t="shared" si="97"/>
        <v>1.7403019855658228</v>
      </c>
      <c r="J196" s="57">
        <f t="shared" si="97"/>
        <v>0.10464484618181602</v>
      </c>
      <c r="K196" s="74">
        <f t="shared" si="92"/>
        <v>18.000233060724447</v>
      </c>
      <c r="L196" s="57">
        <f t="shared" si="95"/>
        <v>15.456083825569637</v>
      </c>
      <c r="M196" s="57">
        <f t="shared" si="95"/>
        <v>37.693063930641465</v>
      </c>
      <c r="N196" s="75">
        <f t="shared" si="95"/>
        <v>0.70321421373408377</v>
      </c>
      <c r="O196" s="75">
        <f t="shared" si="95"/>
        <v>0.51292782102583834</v>
      </c>
      <c r="P196" s="75">
        <f t="shared" si="95"/>
        <v>0.28307053861725845</v>
      </c>
      <c r="Q196" s="57">
        <f t="shared" si="95"/>
        <v>10.843695576532308</v>
      </c>
      <c r="R196" s="76">
        <f t="shared" si="95"/>
        <v>14.571115298107618</v>
      </c>
    </row>
    <row r="197" spans="1:20">
      <c r="A197" s="12">
        <f t="shared" si="90"/>
        <v>0.01</v>
      </c>
      <c r="B197" s="74">
        <f t="shared" ref="B197:J197" si="98">B111/(Melt_fraction+(C$172*(1-Melt_fraction)))</f>
        <v>0.70544246357982676</v>
      </c>
      <c r="C197" s="57">
        <f t="shared" si="98"/>
        <v>0.23804002891890577</v>
      </c>
      <c r="D197" s="57">
        <f t="shared" si="98"/>
        <v>5.2379497019656904</v>
      </c>
      <c r="E197" s="111">
        <f t="shared" si="98"/>
        <v>69.206700797265526</v>
      </c>
      <c r="F197" s="111">
        <f t="shared" si="98"/>
        <v>712.49582180876712</v>
      </c>
      <c r="G197" s="57">
        <f t="shared" si="98"/>
        <v>4.7172922587898167</v>
      </c>
      <c r="H197" s="57">
        <f t="shared" si="98"/>
        <v>22.738368832651897</v>
      </c>
      <c r="I197" s="57">
        <f t="shared" si="98"/>
        <v>1.8384811271399171</v>
      </c>
      <c r="J197" s="57">
        <f t="shared" si="98"/>
        <v>0.10960605342346848</v>
      </c>
      <c r="K197" s="74">
        <f t="shared" si="92"/>
        <v>18.029983980354402</v>
      </c>
      <c r="L197" s="57">
        <f t="shared" si="95"/>
        <v>15.459544350026215</v>
      </c>
      <c r="M197" s="57">
        <f t="shared" si="95"/>
        <v>37.741200070266501</v>
      </c>
      <c r="N197" s="75">
        <f t="shared" si="95"/>
        <v>0.70340165206219751</v>
      </c>
      <c r="O197" s="75">
        <f t="shared" si="95"/>
        <v>0.5129291346465209</v>
      </c>
      <c r="P197" s="75">
        <f t="shared" si="95"/>
        <v>0.28306973154228537</v>
      </c>
      <c r="Q197" s="57">
        <f t="shared" si="95"/>
        <v>10.869333591843056</v>
      </c>
      <c r="R197" s="76">
        <f t="shared" si="95"/>
        <v>14.542562310033702</v>
      </c>
    </row>
    <row r="198" spans="1:20">
      <c r="A198" s="12">
        <f t="shared" si="90"/>
        <v>0.02</v>
      </c>
      <c r="B198" s="74">
        <f t="shared" ref="B198:J198" si="99">B112/(Melt_fraction+(C$172*(1-Melt_fraction)))</f>
        <v>1.3397584271660852</v>
      </c>
      <c r="C198" s="57">
        <f t="shared" si="99"/>
        <v>0.26260695041636761</v>
      </c>
      <c r="D198" s="57">
        <f t="shared" si="99"/>
        <v>10.096321233079319</v>
      </c>
      <c r="E198" s="111">
        <f t="shared" si="99"/>
        <v>136.97371532049348</v>
      </c>
      <c r="F198" s="111">
        <f t="shared" si="99"/>
        <v>1277.9541211121661</v>
      </c>
      <c r="G198" s="57">
        <f t="shared" si="99"/>
        <v>6.6866377935494086</v>
      </c>
      <c r="H198" s="57">
        <f t="shared" si="99"/>
        <v>36.389489890596167</v>
      </c>
      <c r="I198" s="57">
        <f t="shared" si="99"/>
        <v>2.0348394102881056</v>
      </c>
      <c r="J198" s="57">
        <f t="shared" si="99"/>
        <v>0.11952846790677338</v>
      </c>
      <c r="K198" s="74">
        <f t="shared" si="92"/>
        <v>18.046537199730555</v>
      </c>
      <c r="L198" s="57">
        <f t="shared" si="95"/>
        <v>15.461469763465491</v>
      </c>
      <c r="M198" s="57">
        <f t="shared" si="95"/>
        <v>37.767982707208319</v>
      </c>
      <c r="N198" s="75">
        <f t="shared" si="95"/>
        <v>0.70352772035397315</v>
      </c>
      <c r="O198" s="75">
        <f t="shared" si="95"/>
        <v>0.51293028351638248</v>
      </c>
      <c r="P198" s="75">
        <f t="shared" si="95"/>
        <v>0.2830683510361176</v>
      </c>
      <c r="Q198" s="57">
        <f t="shared" si="95"/>
        <v>10.891756155291255</v>
      </c>
      <c r="R198" s="76">
        <f t="shared" si="95"/>
        <v>14.493722267336917</v>
      </c>
    </row>
    <row r="199" spans="1:20">
      <c r="A199" s="12">
        <f t="shared" si="90"/>
        <v>0.03</v>
      </c>
      <c r="B199" s="74">
        <f t="shared" ref="B199:J199" si="100">B113/(Melt_fraction+(C$172*(1-Melt_fraction)))</f>
        <v>1.9740743907523435</v>
      </c>
      <c r="C199" s="57">
        <f t="shared" si="100"/>
        <v>0.28717387191382943</v>
      </c>
      <c r="D199" s="57">
        <f t="shared" si="100"/>
        <v>14.954692764192947</v>
      </c>
      <c r="E199" s="111">
        <f t="shared" si="100"/>
        <v>204.74072984372137</v>
      </c>
      <c r="F199" s="111">
        <f t="shared" si="100"/>
        <v>1843.4124204155651</v>
      </c>
      <c r="G199" s="57">
        <f t="shared" si="100"/>
        <v>8.6559833283090004</v>
      </c>
      <c r="H199" s="57">
        <f t="shared" si="100"/>
        <v>50.040610948540433</v>
      </c>
      <c r="I199" s="57">
        <f t="shared" si="100"/>
        <v>2.2311976934362945</v>
      </c>
      <c r="J199" s="57">
        <f t="shared" si="100"/>
        <v>0.12945088239007826</v>
      </c>
      <c r="K199" s="74">
        <f t="shared" si="92"/>
        <v>18.052335040706968</v>
      </c>
      <c r="L199" s="57">
        <f t="shared" si="95"/>
        <v>15.462144148349852</v>
      </c>
      <c r="M199" s="57">
        <f t="shared" si="95"/>
        <v>37.777363448584914</v>
      </c>
      <c r="N199" s="75">
        <f t="shared" si="95"/>
        <v>0.70357644690596866</v>
      </c>
      <c r="O199" s="75">
        <f t="shared" si="95"/>
        <v>0.5129308055609012</v>
      </c>
      <c r="P199" s="75">
        <f t="shared" si="95"/>
        <v>0.28306721351498138</v>
      </c>
      <c r="Q199" s="57">
        <f t="shared" si="95"/>
        <v>10.901944930132856</v>
      </c>
      <c r="R199" s="76">
        <f t="shared" si="95"/>
        <v>14.4534786362982</v>
      </c>
    </row>
    <row r="200" spans="1:20">
      <c r="A200" s="12">
        <f t="shared" si="90"/>
        <v>0.04</v>
      </c>
      <c r="B200" s="74">
        <f t="shared" ref="B200:J200" si="101">B114/(Melt_fraction+(C$172*(1-Melt_fraction)))</f>
        <v>2.608390354338602</v>
      </c>
      <c r="C200" s="57">
        <f t="shared" si="101"/>
        <v>0.31174079341129118</v>
      </c>
      <c r="D200" s="57">
        <f t="shared" si="101"/>
        <v>19.813064295306578</v>
      </c>
      <c r="E200" s="111">
        <f t="shared" si="101"/>
        <v>272.50774436694934</v>
      </c>
      <c r="F200" s="111">
        <f t="shared" si="101"/>
        <v>2408.8707197189642</v>
      </c>
      <c r="G200" s="57">
        <f t="shared" si="101"/>
        <v>10.625328863068592</v>
      </c>
      <c r="H200" s="57">
        <f t="shared" si="101"/>
        <v>63.691732006484699</v>
      </c>
      <c r="I200" s="57">
        <f t="shared" si="101"/>
        <v>2.4275559765844834</v>
      </c>
      <c r="J200" s="57">
        <f t="shared" si="101"/>
        <v>0.13937329687338318</v>
      </c>
      <c r="K200" s="74">
        <f t="shared" si="92"/>
        <v>18.055289498638544</v>
      </c>
      <c r="L200" s="57">
        <f t="shared" si="95"/>
        <v>15.462487800716072</v>
      </c>
      <c r="M200" s="57">
        <f t="shared" si="95"/>
        <v>37.782143677272948</v>
      </c>
      <c r="N200" s="75">
        <f t="shared" si="95"/>
        <v>0.70360229731687729</v>
      </c>
      <c r="O200" s="75">
        <f t="shared" si="95"/>
        <v>0.51293110382463403</v>
      </c>
      <c r="P200" s="75">
        <f t="shared" si="95"/>
        <v>0.28306626001571689</v>
      </c>
      <c r="Q200" s="57">
        <f t="shared" si="95"/>
        <v>10.907766161671884</v>
      </c>
      <c r="R200" s="76">
        <f t="shared" si="95"/>
        <v>14.419745397089567</v>
      </c>
    </row>
    <row r="201" spans="1:20">
      <c r="A201" s="12">
        <f t="shared" si="90"/>
        <v>0.05</v>
      </c>
      <c r="B201" s="74">
        <f t="shared" ref="B201:J201" si="102">B115/(Melt_fraction+(C$172*(1-Melt_fraction)))</f>
        <v>3.2427063179248607</v>
      </c>
      <c r="C201" s="57">
        <f t="shared" si="102"/>
        <v>0.336307714908753</v>
      </c>
      <c r="D201" s="57">
        <f t="shared" si="102"/>
        <v>24.671435826420208</v>
      </c>
      <c r="E201" s="111">
        <f t="shared" si="102"/>
        <v>340.27475889017728</v>
      </c>
      <c r="F201" s="111">
        <f t="shared" si="102"/>
        <v>2974.3290190223634</v>
      </c>
      <c r="G201" s="57">
        <f t="shared" si="102"/>
        <v>12.594674397828184</v>
      </c>
      <c r="H201" s="57">
        <f t="shared" si="102"/>
        <v>77.342853064428965</v>
      </c>
      <c r="I201" s="57">
        <f t="shared" si="102"/>
        <v>2.6239142597326719</v>
      </c>
      <c r="J201" s="57">
        <f t="shared" si="102"/>
        <v>0.14929571135668812</v>
      </c>
      <c r="K201" s="74">
        <f t="shared" si="92"/>
        <v>18.057080355521073</v>
      </c>
      <c r="L201" s="57">
        <f t="shared" si="95"/>
        <v>15.46269610701777</v>
      </c>
      <c r="M201" s="57">
        <f t="shared" si="95"/>
        <v>37.785041232643266</v>
      </c>
      <c r="N201" s="75">
        <f t="shared" si="95"/>
        <v>0.70361831873489689</v>
      </c>
      <c r="O201" s="75">
        <f t="shared" si="95"/>
        <v>0.51293129680044003</v>
      </c>
      <c r="P201" s="75">
        <f t="shared" si="95"/>
        <v>0.28306544922498633</v>
      </c>
      <c r="Q201" s="57">
        <f t="shared" si="95"/>
        <v>10.911532482296149</v>
      </c>
      <c r="R201" s="76">
        <f t="shared" si="95"/>
        <v>14.391060951612911</v>
      </c>
    </row>
    <row r="202" spans="1:20">
      <c r="A202" s="12">
        <f t="shared" si="90"/>
        <v>6.0000000000000005E-2</v>
      </c>
      <c r="B202" s="74">
        <f t="shared" ref="B202:J202" si="103">B116/(Melt_fraction+(C$172*(1-Melt_fraction)))</f>
        <v>3.8770222815111191</v>
      </c>
      <c r="C202" s="57">
        <f t="shared" si="103"/>
        <v>0.36087463640621487</v>
      </c>
      <c r="D202" s="57">
        <f t="shared" si="103"/>
        <v>29.529807357533837</v>
      </c>
      <c r="E202" s="111">
        <f t="shared" si="103"/>
        <v>408.04177341340517</v>
      </c>
      <c r="F202" s="111">
        <f t="shared" si="103"/>
        <v>3539.787318325762</v>
      </c>
      <c r="G202" s="57">
        <f t="shared" si="103"/>
        <v>14.564019932587778</v>
      </c>
      <c r="H202" s="57">
        <f t="shared" si="103"/>
        <v>90.993974122373245</v>
      </c>
      <c r="I202" s="57">
        <f t="shared" si="103"/>
        <v>2.8202725428808613</v>
      </c>
      <c r="J202" s="57">
        <f t="shared" si="103"/>
        <v>0.15921812583999301</v>
      </c>
      <c r="K202" s="74">
        <f t="shared" si="92"/>
        <v>18.058281933375191</v>
      </c>
      <c r="L202" s="57">
        <f t="shared" si="95"/>
        <v>15.462835870413404</v>
      </c>
      <c r="M202" s="57">
        <f t="shared" si="95"/>
        <v>37.78698535134869</v>
      </c>
      <c r="N202" s="75">
        <f t="shared" si="95"/>
        <v>0.70362922151556861</v>
      </c>
      <c r="O202" s="75">
        <f t="shared" si="95"/>
        <v>0.51293143187491541</v>
      </c>
      <c r="P202" s="75">
        <f t="shared" si="95"/>
        <v>0.2830647513350294</v>
      </c>
      <c r="Q202" s="57">
        <f t="shared" si="95"/>
        <v>10.914168739104557</v>
      </c>
      <c r="R202" s="76">
        <f t="shared" si="95"/>
        <v>14.366370750229507</v>
      </c>
    </row>
    <row r="203" spans="1:20">
      <c r="A203" s="12">
        <f t="shared" si="90"/>
        <v>7.0000000000000007E-2</v>
      </c>
      <c r="B203" s="74">
        <f t="shared" ref="B203:J203" si="104">B117/(Melt_fraction+(C$172*(1-Melt_fraction)))</f>
        <v>4.5113382450973782</v>
      </c>
      <c r="C203" s="57">
        <f t="shared" si="104"/>
        <v>0.38544155790367662</v>
      </c>
      <c r="D203" s="57">
        <f t="shared" si="104"/>
        <v>34.388178888647474</v>
      </c>
      <c r="E203" s="111">
        <f t="shared" si="104"/>
        <v>475.80878793663317</v>
      </c>
      <c r="F203" s="111">
        <f t="shared" si="104"/>
        <v>4105.2456176291607</v>
      </c>
      <c r="G203" s="57">
        <f t="shared" si="104"/>
        <v>16.53336546734737</v>
      </c>
      <c r="H203" s="57">
        <f t="shared" si="104"/>
        <v>104.64509518031751</v>
      </c>
      <c r="I203" s="57">
        <f t="shared" si="104"/>
        <v>3.0166308260290493</v>
      </c>
      <c r="J203" s="57">
        <f t="shared" si="104"/>
        <v>0.16914054032329792</v>
      </c>
      <c r="K203" s="74">
        <f t="shared" si="92"/>
        <v>18.059143992718727</v>
      </c>
      <c r="L203" s="57">
        <f t="shared" si="95"/>
        <v>15.462936142185786</v>
      </c>
      <c r="M203" s="57">
        <f t="shared" si="95"/>
        <v>37.78838013878525</v>
      </c>
      <c r="N203" s="75">
        <f t="shared" si="95"/>
        <v>0.70363712078883012</v>
      </c>
      <c r="O203" s="75">
        <f t="shared" si="95"/>
        <v>0.51293153170802541</v>
      </c>
      <c r="P203" s="75">
        <f t="shared" si="95"/>
        <v>0.28306414429906268</v>
      </c>
      <c r="Q203" s="57">
        <f t="shared" si="95"/>
        <v>10.916117188026764</v>
      </c>
      <c r="R203" s="76">
        <f t="shared" si="95"/>
        <v>14.344894813920206</v>
      </c>
    </row>
    <row r="204" spans="1:20">
      <c r="A204" s="12">
        <f t="shared" si="90"/>
        <v>0.08</v>
      </c>
      <c r="B204" s="74">
        <f t="shared" ref="B204:J204" si="105">B118/(Melt_fraction+(C$172*(1-Melt_fraction)))</f>
        <v>5.1456542086836361</v>
      </c>
      <c r="C204" s="57">
        <f t="shared" si="105"/>
        <v>0.41000847940113844</v>
      </c>
      <c r="D204" s="57">
        <f t="shared" si="105"/>
        <v>39.246550419761093</v>
      </c>
      <c r="E204" s="111">
        <f t="shared" si="105"/>
        <v>543.57580245986105</v>
      </c>
      <c r="F204" s="111">
        <f t="shared" si="105"/>
        <v>4670.7039169325608</v>
      </c>
      <c r="G204" s="57">
        <f t="shared" si="105"/>
        <v>18.50271100210696</v>
      </c>
      <c r="H204" s="57">
        <f t="shared" si="105"/>
        <v>118.29621623826178</v>
      </c>
      <c r="I204" s="57">
        <f t="shared" si="105"/>
        <v>3.2129891091772382</v>
      </c>
      <c r="J204" s="57">
        <f t="shared" si="105"/>
        <v>0.17906295480660286</v>
      </c>
      <c r="K204" s="74">
        <f t="shared" si="92"/>
        <v>18.059792621606444</v>
      </c>
      <c r="L204" s="57">
        <f t="shared" si="95"/>
        <v>15.463011588462981</v>
      </c>
      <c r="M204" s="57">
        <f t="shared" si="95"/>
        <v>37.789429601830165</v>
      </c>
      <c r="N204" s="75">
        <f t="shared" si="95"/>
        <v>0.70364310741264802</v>
      </c>
      <c r="O204" s="75">
        <f t="shared" si="95"/>
        <v>0.51293160850009634</v>
      </c>
      <c r="P204" s="75">
        <f t="shared" si="95"/>
        <v>0.28306361145976205</v>
      </c>
      <c r="Q204" s="57">
        <f t="shared" si="95"/>
        <v>10.917615943577541</v>
      </c>
      <c r="R204" s="76">
        <f t="shared" si="95"/>
        <v>14.326043833894353</v>
      </c>
    </row>
    <row r="205" spans="1:20">
      <c r="A205" s="12">
        <f t="shared" si="90"/>
        <v>0.09</v>
      </c>
      <c r="B205" s="74">
        <f t="shared" ref="B205:J205" si="106">B119/(Melt_fraction+(C$172*(1-Melt_fraction)))</f>
        <v>5.7799701722698931</v>
      </c>
      <c r="C205" s="57">
        <f t="shared" si="106"/>
        <v>0.43457540089860019</v>
      </c>
      <c r="D205" s="57">
        <f t="shared" si="106"/>
        <v>44.104921950874719</v>
      </c>
      <c r="E205" s="111">
        <f t="shared" si="106"/>
        <v>611.34281698308894</v>
      </c>
      <c r="F205" s="111">
        <f t="shared" si="106"/>
        <v>5236.162216235959</v>
      </c>
      <c r="G205" s="57">
        <f t="shared" si="106"/>
        <v>20.47205653686655</v>
      </c>
      <c r="H205" s="57">
        <f t="shared" si="106"/>
        <v>131.94733729620606</v>
      </c>
      <c r="I205" s="57">
        <f t="shared" si="106"/>
        <v>3.4093473923254272</v>
      </c>
      <c r="J205" s="57">
        <f t="shared" si="106"/>
        <v>0.18898536928990775</v>
      </c>
      <c r="K205" s="74">
        <f t="shared" si="92"/>
        <v>18.060298351244697</v>
      </c>
      <c r="L205" s="57">
        <f t="shared" si="95"/>
        <v>15.463070413191875</v>
      </c>
      <c r="M205" s="57">
        <f t="shared" si="95"/>
        <v>37.790247857964161</v>
      </c>
      <c r="N205" s="75">
        <f t="shared" si="95"/>
        <v>0.70364780103369684</v>
      </c>
      <c r="O205" s="75">
        <f t="shared" si="95"/>
        <v>0.5129316694025271</v>
      </c>
      <c r="P205" s="75">
        <f t="shared" si="95"/>
        <v>0.2830631399972578</v>
      </c>
      <c r="Q205" s="57">
        <f t="shared" si="95"/>
        <v>10.918804580049013</v>
      </c>
      <c r="R205" s="76">
        <f t="shared" si="95"/>
        <v>14.309364264202262</v>
      </c>
    </row>
    <row r="206" spans="1:20">
      <c r="A206" s="12">
        <f t="shared" si="90"/>
        <v>9.9999999999999992E-2</v>
      </c>
      <c r="B206" s="77">
        <f t="shared" ref="B206:J206" si="107">B120/(Melt_fraction+(C$172*(1-Melt_fraction)))</f>
        <v>6.4142861358561518</v>
      </c>
      <c r="C206" s="78">
        <f t="shared" si="107"/>
        <v>0.45914232239606201</v>
      </c>
      <c r="D206" s="78">
        <f t="shared" si="107"/>
        <v>48.963293481988345</v>
      </c>
      <c r="E206" s="112">
        <f t="shared" si="107"/>
        <v>679.10983150631682</v>
      </c>
      <c r="F206" s="112">
        <f t="shared" si="107"/>
        <v>5801.6205155393573</v>
      </c>
      <c r="G206" s="78">
        <f t="shared" si="107"/>
        <v>22.441402071626143</v>
      </c>
      <c r="H206" s="78">
        <f t="shared" si="107"/>
        <v>145.5984583541503</v>
      </c>
      <c r="I206" s="78">
        <f t="shared" si="107"/>
        <v>3.6057056754736152</v>
      </c>
      <c r="J206" s="78">
        <f t="shared" si="107"/>
        <v>0.19890778377321267</v>
      </c>
      <c r="K206" s="77">
        <f t="shared" si="92"/>
        <v>18.060703719068929</v>
      </c>
      <c r="L206" s="78">
        <f t="shared" si="95"/>
        <v>15.463117564180385</v>
      </c>
      <c r="M206" s="78">
        <f t="shared" si="95"/>
        <v>37.790903731544866</v>
      </c>
      <c r="N206" s="79">
        <f t="shared" si="95"/>
        <v>0.70365157972176473</v>
      </c>
      <c r="O206" s="79">
        <f t="shared" si="95"/>
        <v>0.51293171888469358</v>
      </c>
      <c r="P206" s="79">
        <f t="shared" si="95"/>
        <v>0.28306271988424037</v>
      </c>
      <c r="Q206" s="78">
        <f t="shared" si="95"/>
        <v>10.919770326522915</v>
      </c>
      <c r="R206" s="80">
        <f t="shared" si="95"/>
        <v>14.294501355083256</v>
      </c>
    </row>
    <row r="207" spans="1:20">
      <c r="A207" s="12">
        <f t="shared" si="90"/>
        <v>1</v>
      </c>
      <c r="B207" s="57">
        <f t="shared" ref="B207:J207" si="108">B121/(Melt_fraction+(C$172*(1-Melt_fraction)))</f>
        <v>63.502722858619414</v>
      </c>
      <c r="C207" s="57">
        <f t="shared" si="108"/>
        <v>2.6701652571676249</v>
      </c>
      <c r="D207" s="57">
        <f t="shared" si="108"/>
        <v>486.21673128221499</v>
      </c>
      <c r="E207" s="111">
        <f t="shared" si="108"/>
        <v>6778.1411385968304</v>
      </c>
      <c r="F207" s="111">
        <f t="shared" si="108"/>
        <v>56692.867452845268</v>
      </c>
      <c r="G207" s="57">
        <f t="shared" si="108"/>
        <v>199.68250019998942</v>
      </c>
      <c r="H207" s="57">
        <f t="shared" si="108"/>
        <v>1374.1993535691345</v>
      </c>
      <c r="I207" s="57">
        <f t="shared" si="108"/>
        <v>21.277951158810602</v>
      </c>
      <c r="J207" s="57">
        <f t="shared" si="108"/>
        <v>1.0919250872706547</v>
      </c>
      <c r="K207" s="57"/>
      <c r="L207" s="57"/>
      <c r="M207" s="57"/>
      <c r="N207" s="57"/>
      <c r="O207" s="57"/>
      <c r="P207" s="57"/>
      <c r="Q207" s="57"/>
      <c r="R207" s="57"/>
      <c r="S207" s="57"/>
      <c r="T207" s="57"/>
    </row>
    <row r="208" spans="1:20">
      <c r="A208" s="13"/>
      <c r="B208" s="58"/>
      <c r="C208" s="58"/>
      <c r="D208" s="58"/>
      <c r="E208" s="58"/>
      <c r="F208" s="25"/>
      <c r="G208" s="25"/>
      <c r="H208" s="25"/>
      <c r="I208" s="25"/>
      <c r="J208" s="25"/>
      <c r="K208" s="25"/>
      <c r="L208" s="57"/>
      <c r="M208" s="57"/>
      <c r="N208" s="7"/>
      <c r="O208" s="7"/>
      <c r="P208" s="12"/>
    </row>
    <row r="209" spans="1:13">
      <c r="A209" s="13"/>
      <c r="B209" s="45" t="s">
        <v>68</v>
      </c>
      <c r="K209" s="25"/>
      <c r="L209" s="25"/>
      <c r="M209" s="25"/>
    </row>
    <row r="210" spans="1:13">
      <c r="A210" s="178" t="str">
        <f>A175</f>
        <v>Ffluid1 (aq)</v>
      </c>
      <c r="B210" s="178" t="s">
        <v>23</v>
      </c>
      <c r="C210" s="178" t="s">
        <v>22</v>
      </c>
      <c r="D210" s="178" t="s">
        <v>21</v>
      </c>
      <c r="E210" s="178" t="s">
        <v>15</v>
      </c>
      <c r="F210" s="178" t="s">
        <v>16</v>
      </c>
      <c r="G210" s="178" t="s">
        <v>19</v>
      </c>
      <c r="H210" s="178" t="s">
        <v>18</v>
      </c>
      <c r="I210" s="178" t="s">
        <v>17</v>
      </c>
      <c r="J210" s="178" t="s">
        <v>20</v>
      </c>
      <c r="K210" s="93"/>
      <c r="L210" s="93"/>
      <c r="M210" s="93"/>
    </row>
    <row r="211" spans="1:13">
      <c r="A211" s="12">
        <f t="shared" ref="A211:A225" si="109">A89</f>
        <v>0</v>
      </c>
      <c r="B211" s="54">
        <f t="shared" ref="B211:J211" si="110">(B89-B176*Melt_fraction)/(1-Melt_fraction)</f>
        <v>4.6001063870840323E-4</v>
      </c>
      <c r="C211" s="54">
        <f t="shared" si="110"/>
        <v>9.485250582057038E-4</v>
      </c>
      <c r="D211" s="3">
        <f t="shared" si="110"/>
        <v>4.5245717965565675E-4</v>
      </c>
      <c r="E211" s="3">
        <f t="shared" si="110"/>
        <v>1.7221527210037927E-3</v>
      </c>
      <c r="F211" s="7">
        <f t="shared" si="110"/>
        <v>1.0401581379552252</v>
      </c>
      <c r="G211" s="7">
        <f t="shared" si="110"/>
        <v>0.11183318782785805</v>
      </c>
      <c r="H211" s="7">
        <f t="shared" si="110"/>
        <v>0.17847354629525777</v>
      </c>
      <c r="I211" s="7">
        <f t="shared" si="110"/>
        <v>0.10688577591542162</v>
      </c>
      <c r="J211" s="7">
        <f t="shared" si="110"/>
        <v>6.0658491131478927E-2</v>
      </c>
      <c r="K211" s="81"/>
      <c r="L211" s="81"/>
      <c r="M211" s="81"/>
    </row>
    <row r="212" spans="1:13">
      <c r="A212" s="12">
        <f t="shared" si="109"/>
        <v>1E-3</v>
      </c>
      <c r="B212" s="54">
        <f t="shared" ref="B212:J212" si="111">(B90-B177*Melt_fraction)/(1-Melt_fraction)</f>
        <v>8.702544881578156E-4</v>
      </c>
      <c r="C212" s="54">
        <f t="shared" si="111"/>
        <v>9.5944087843467026E-4</v>
      </c>
      <c r="D212" s="3">
        <f t="shared" si="111"/>
        <v>1.0315750661644058E-3</v>
      </c>
      <c r="E212" s="7">
        <f t="shared" si="111"/>
        <v>9.8284429982722493E-3</v>
      </c>
      <c r="F212" s="7">
        <f t="shared" si="111"/>
        <v>1.4401689934654438</v>
      </c>
      <c r="G212" s="7">
        <f t="shared" si="111"/>
        <v>0.11984783335066915</v>
      </c>
      <c r="H212" s="7">
        <f t="shared" si="111"/>
        <v>0.20528434805306028</v>
      </c>
      <c r="I212" s="7">
        <f t="shared" si="111"/>
        <v>0.10816387198043319</v>
      </c>
      <c r="J212" s="7">
        <f t="shared" si="111"/>
        <v>6.1262279975202526E-2</v>
      </c>
      <c r="K212" s="81"/>
      <c r="L212" s="81"/>
      <c r="M212" s="81"/>
    </row>
    <row r="213" spans="1:13">
      <c r="A213" s="12">
        <f t="shared" si="109"/>
        <v>2E-3</v>
      </c>
      <c r="B213" s="54">
        <f t="shared" ref="B213:J213" si="112">(B91-B178*Melt_fraction)/(1-Melt_fraction)</f>
        <v>1.2804983376072299E-3</v>
      </c>
      <c r="C213" s="54">
        <f t="shared" si="112"/>
        <v>9.7035669866363673E-4</v>
      </c>
      <c r="D213" s="3">
        <f t="shared" si="112"/>
        <v>1.6106929526731512E-3</v>
      </c>
      <c r="E213" s="7">
        <f t="shared" si="112"/>
        <v>1.7934733275540824E-2</v>
      </c>
      <c r="F213" s="7">
        <f t="shared" si="112"/>
        <v>1.8401798489756627</v>
      </c>
      <c r="G213" s="7">
        <f t="shared" si="112"/>
        <v>0.12786247887348029</v>
      </c>
      <c r="H213" s="7">
        <f t="shared" si="112"/>
        <v>0.23209514981086291</v>
      </c>
      <c r="I213" s="7">
        <f t="shared" si="112"/>
        <v>0.10944196804544473</v>
      </c>
      <c r="J213" s="7">
        <f t="shared" si="112"/>
        <v>6.1866068818926097E-2</v>
      </c>
      <c r="K213" s="81"/>
      <c r="L213" s="81"/>
      <c r="M213" s="81"/>
    </row>
    <row r="214" spans="1:13">
      <c r="A214" s="12">
        <f t="shared" si="109"/>
        <v>5.0000000000000001E-3</v>
      </c>
      <c r="B214" s="54">
        <f t="shared" ref="B214:J214" si="113">(B92-B179*Melt_fraction)/(1-Melt_fraction)</f>
        <v>2.511229885955465E-3</v>
      </c>
      <c r="C214" s="54">
        <f t="shared" si="113"/>
        <v>1.0031041593505398E-3</v>
      </c>
      <c r="D214" s="7">
        <f t="shared" si="113"/>
        <v>3.3480466121993875E-3</v>
      </c>
      <c r="E214" s="7">
        <f t="shared" si="113"/>
        <v>4.2253604107346555E-2</v>
      </c>
      <c r="F214" s="7">
        <f t="shared" si="113"/>
        <v>3.040212415506315</v>
      </c>
      <c r="G214" s="7">
        <f t="shared" si="113"/>
        <v>0.15190641544191361</v>
      </c>
      <c r="H214" s="7">
        <f t="shared" si="113"/>
        <v>0.31252755508427044</v>
      </c>
      <c r="I214" s="7">
        <f t="shared" si="113"/>
        <v>0.11327625624047942</v>
      </c>
      <c r="J214" s="7">
        <f t="shared" si="113"/>
        <v>6.3677435350096873E-2</v>
      </c>
      <c r="K214" s="81"/>
      <c r="L214" s="81"/>
      <c r="M214" s="81"/>
    </row>
    <row r="215" spans="1:13">
      <c r="A215" s="12">
        <f t="shared" si="109"/>
        <v>0.01</v>
      </c>
      <c r="B215" s="54">
        <f t="shared" ref="B215:J215" si="114">(B93-B180*Melt_fraction)/(1-Melt_fraction)</f>
        <v>4.562449133202532E-3</v>
      </c>
      <c r="C215" s="54">
        <f t="shared" si="114"/>
        <v>1.0576832604953757E-3</v>
      </c>
      <c r="D215" s="7">
        <f t="shared" si="114"/>
        <v>6.2436360447431002E-3</v>
      </c>
      <c r="E215" s="7">
        <f t="shared" si="114"/>
        <v>8.2785055493689433E-2</v>
      </c>
      <c r="F215" s="7">
        <f t="shared" si="114"/>
        <v>5.0402666930574034</v>
      </c>
      <c r="G215" s="7">
        <f t="shared" si="114"/>
        <v>0.19197964305596915</v>
      </c>
      <c r="H215" s="7">
        <f t="shared" si="114"/>
        <v>0.44658156387328313</v>
      </c>
      <c r="I215" s="7">
        <f t="shared" si="114"/>
        <v>0.11966673656553722</v>
      </c>
      <c r="J215" s="7">
        <f t="shared" si="114"/>
        <v>6.6696379568714798E-2</v>
      </c>
      <c r="K215" s="81"/>
      <c r="L215" s="81"/>
      <c r="M215" s="81"/>
    </row>
    <row r="216" spans="1:13">
      <c r="A216" s="12">
        <f t="shared" si="109"/>
        <v>0.02</v>
      </c>
      <c r="B216" s="52">
        <f t="shared" ref="B216:J216" si="115">(B94-B181*Melt_fraction)/(1-Melt_fraction)</f>
        <v>8.6648876276966668E-3</v>
      </c>
      <c r="C216" s="52">
        <f t="shared" si="115"/>
        <v>1.1668414627850478E-3</v>
      </c>
      <c r="D216" s="7">
        <f t="shared" si="115"/>
        <v>1.2034814909830525E-2</v>
      </c>
      <c r="E216" s="7">
        <f t="shared" si="115"/>
        <v>0.1638479582663733</v>
      </c>
      <c r="F216" s="7">
        <f t="shared" si="115"/>
        <v>9.040375248159588</v>
      </c>
      <c r="G216" s="7">
        <f t="shared" si="115"/>
        <v>0.27212609828408024</v>
      </c>
      <c r="H216" s="7">
        <f t="shared" si="115"/>
        <v>0.71468958145130823</v>
      </c>
      <c r="I216" s="7">
        <f t="shared" si="115"/>
        <v>0.13244769721565283</v>
      </c>
      <c r="J216" s="7">
        <f t="shared" si="115"/>
        <v>7.2734268005950675E-2</v>
      </c>
      <c r="K216" s="81"/>
      <c r="L216" s="81"/>
      <c r="M216" s="81"/>
    </row>
    <row r="217" spans="1:13">
      <c r="A217" s="12">
        <f t="shared" si="109"/>
        <v>0.03</v>
      </c>
      <c r="B217" s="52">
        <f t="shared" ref="B217:J217" si="116">(B95-B182*Melt_fraction)/(1-Melt_fraction)</f>
        <v>1.2767326122190786E-2</v>
      </c>
      <c r="C217" s="52">
        <f t="shared" si="116"/>
        <v>1.2759996650747198E-3</v>
      </c>
      <c r="D217" s="7">
        <f t="shared" si="116"/>
        <v>1.7825993774917951E-2</v>
      </c>
      <c r="E217" s="7">
        <f t="shared" si="116"/>
        <v>0.24491086103905904</v>
      </c>
      <c r="F217" s="7">
        <f t="shared" si="116"/>
        <v>13.040483803261763</v>
      </c>
      <c r="G217" s="7">
        <f t="shared" si="116"/>
        <v>0.35227255351219133</v>
      </c>
      <c r="H217" s="7">
        <f t="shared" si="116"/>
        <v>0.98279759902933383</v>
      </c>
      <c r="I217" s="7">
        <f t="shared" si="116"/>
        <v>0.14522865786576841</v>
      </c>
      <c r="J217" s="7">
        <f t="shared" si="116"/>
        <v>7.8772156443186525E-2</v>
      </c>
      <c r="K217" s="81"/>
      <c r="L217" s="81"/>
      <c r="M217" s="81"/>
    </row>
    <row r="218" spans="1:13">
      <c r="A218" s="12">
        <f t="shared" si="109"/>
        <v>0.04</v>
      </c>
      <c r="B218" s="52">
        <f t="shared" ref="B218:J218" si="117">(B96-B183*Melt_fraction)/(1-Melt_fraction)</f>
        <v>1.6869764616684921E-2</v>
      </c>
      <c r="C218" s="52">
        <f t="shared" si="117"/>
        <v>1.3851578673643918E-3</v>
      </c>
      <c r="D218" s="7">
        <f t="shared" si="117"/>
        <v>2.3617172640005492E-2</v>
      </c>
      <c r="E218" s="7">
        <f t="shared" si="117"/>
        <v>0.32597376381174104</v>
      </c>
      <c r="F218" s="7">
        <f t="shared" si="117"/>
        <v>17.040592358363941</v>
      </c>
      <c r="G218" s="7">
        <f t="shared" si="117"/>
        <v>0.43241900874030254</v>
      </c>
      <c r="H218" s="7">
        <f t="shared" si="117"/>
        <v>1.2509056166073593</v>
      </c>
      <c r="I218" s="7">
        <f t="shared" si="117"/>
        <v>0.15800961851588405</v>
      </c>
      <c r="J218" s="7">
        <f t="shared" si="117"/>
        <v>8.4810044880422417E-2</v>
      </c>
      <c r="K218" s="81"/>
      <c r="L218" s="81"/>
      <c r="M218" s="81"/>
    </row>
    <row r="219" spans="1:13">
      <c r="A219" s="12">
        <f t="shared" si="109"/>
        <v>0.05</v>
      </c>
      <c r="B219" s="52">
        <f t="shared" ref="B219:J219" si="118">(B97-B184*Melt_fraction)/(1-Melt_fraction)</f>
        <v>2.0972203111179012E-2</v>
      </c>
      <c r="C219" s="52">
        <f t="shared" si="118"/>
        <v>1.4943160696540639E-3</v>
      </c>
      <c r="D219" s="7">
        <f t="shared" si="118"/>
        <v>2.9408351505092918E-2</v>
      </c>
      <c r="E219" s="7">
        <f t="shared" si="118"/>
        <v>0.40703666658442866</v>
      </c>
      <c r="F219" s="7">
        <f t="shared" si="118"/>
        <v>21.040700913466118</v>
      </c>
      <c r="G219" s="7">
        <f t="shared" si="118"/>
        <v>0.51256546396841363</v>
      </c>
      <c r="H219" s="7">
        <f t="shared" si="118"/>
        <v>1.5190136341853855</v>
      </c>
      <c r="I219" s="7">
        <f t="shared" si="118"/>
        <v>0.17079057916599966</v>
      </c>
      <c r="J219" s="7">
        <f t="shared" si="118"/>
        <v>9.084793331765828E-2</v>
      </c>
      <c r="K219" s="81"/>
      <c r="L219" s="81"/>
      <c r="M219" s="81"/>
    </row>
    <row r="220" spans="1:13">
      <c r="A220" s="12">
        <f t="shared" si="109"/>
        <v>6.0000000000000005E-2</v>
      </c>
      <c r="B220" s="52">
        <f t="shared" ref="B220:J220" si="119">(B98-B185*Melt_fraction)/(1-Melt_fraction)</f>
        <v>2.5074641605673163E-2</v>
      </c>
      <c r="C220" s="52">
        <f t="shared" si="119"/>
        <v>1.6034742719437359E-3</v>
      </c>
      <c r="D220" s="7">
        <f t="shared" si="119"/>
        <v>3.5199530370180344E-2</v>
      </c>
      <c r="E220" s="7">
        <f t="shared" si="119"/>
        <v>0.48809956935711635</v>
      </c>
      <c r="F220" s="7">
        <f t="shared" si="119"/>
        <v>25.040809468568291</v>
      </c>
      <c r="G220" s="7">
        <f t="shared" si="119"/>
        <v>0.59271191919652488</v>
      </c>
      <c r="H220" s="7">
        <f t="shared" si="119"/>
        <v>1.7871216517634101</v>
      </c>
      <c r="I220" s="7">
        <f t="shared" si="119"/>
        <v>0.18357153981611526</v>
      </c>
      <c r="J220" s="7">
        <f t="shared" si="119"/>
        <v>9.6885821754894158E-2</v>
      </c>
      <c r="K220" s="81"/>
      <c r="L220" s="81"/>
      <c r="M220" s="81"/>
    </row>
    <row r="221" spans="1:13">
      <c r="A221" s="12">
        <f t="shared" si="109"/>
        <v>7.0000000000000007E-2</v>
      </c>
      <c r="B221" s="52">
        <f t="shared" ref="B221:J221" si="120">(B99-B186*Melt_fraction)/(1-Melt_fraction)</f>
        <v>2.9177080100167251E-2</v>
      </c>
      <c r="C221" s="52">
        <f t="shared" si="120"/>
        <v>1.7126324742334079E-3</v>
      </c>
      <c r="D221" s="7">
        <f t="shared" si="120"/>
        <v>4.0990709235267771E-2</v>
      </c>
      <c r="E221" s="7">
        <f t="shared" si="120"/>
        <v>0.56916247212979643</v>
      </c>
      <c r="F221" s="7">
        <f t="shared" si="120"/>
        <v>29.0409180236705</v>
      </c>
      <c r="G221" s="7">
        <f t="shared" si="120"/>
        <v>0.67285837442463603</v>
      </c>
      <c r="H221" s="7">
        <f t="shared" si="120"/>
        <v>2.0552296693414358</v>
      </c>
      <c r="I221" s="7">
        <f t="shared" si="120"/>
        <v>0.19635250046623084</v>
      </c>
      <c r="J221" s="7">
        <f t="shared" si="120"/>
        <v>0.10292371019213002</v>
      </c>
      <c r="K221" s="81"/>
      <c r="L221" s="81"/>
      <c r="M221" s="81"/>
    </row>
    <row r="222" spans="1:13">
      <c r="A222" s="12">
        <f t="shared" si="109"/>
        <v>0.08</v>
      </c>
      <c r="B222" s="52">
        <f t="shared" ref="B222:J222" si="121">(B100-B187*Melt_fraction)/(1-Melt_fraction)</f>
        <v>3.3279518594661432E-2</v>
      </c>
      <c r="C222" s="52">
        <f t="shared" si="121"/>
        <v>1.82179067652308E-3</v>
      </c>
      <c r="D222" s="7">
        <f t="shared" si="121"/>
        <v>4.6781888100355426E-2</v>
      </c>
      <c r="E222" s="7">
        <f t="shared" si="121"/>
        <v>0.65022537490248022</v>
      </c>
      <c r="F222" s="7">
        <f t="shared" si="121"/>
        <v>33.041026578772673</v>
      </c>
      <c r="G222" s="7">
        <f t="shared" si="121"/>
        <v>0.75300482965274695</v>
      </c>
      <c r="H222" s="7">
        <f t="shared" si="121"/>
        <v>2.3233376869194613</v>
      </c>
      <c r="I222" s="7">
        <f t="shared" si="121"/>
        <v>0.20913346111634648</v>
      </c>
      <c r="J222" s="7">
        <f t="shared" si="121"/>
        <v>0.10896159862936591</v>
      </c>
      <c r="K222" s="81"/>
      <c r="L222" s="81"/>
      <c r="M222" s="81"/>
    </row>
    <row r="223" spans="1:13">
      <c r="A223" s="12">
        <f t="shared" si="109"/>
        <v>0.09</v>
      </c>
      <c r="B223" s="52">
        <f t="shared" ref="B223:J223" si="122">(B101-B188*Melt_fraction)/(1-Melt_fraction)</f>
        <v>3.7381957089155551E-2</v>
      </c>
      <c r="C223" s="52">
        <f t="shared" si="122"/>
        <v>1.930948878812752E-3</v>
      </c>
      <c r="D223" s="7">
        <f t="shared" si="122"/>
        <v>5.2573066965442616E-2</v>
      </c>
      <c r="E223" s="7">
        <f t="shared" si="122"/>
        <v>0.73128827767516791</v>
      </c>
      <c r="F223" s="7">
        <f t="shared" si="122"/>
        <v>37.041135133874825</v>
      </c>
      <c r="G223" s="7">
        <f t="shared" si="122"/>
        <v>0.83315128488085799</v>
      </c>
      <c r="H223" s="7">
        <f t="shared" si="122"/>
        <v>2.5914457044974859</v>
      </c>
      <c r="I223" s="7">
        <f t="shared" si="122"/>
        <v>0.22191442176646212</v>
      </c>
      <c r="J223" s="7">
        <f t="shared" si="122"/>
        <v>0.11499948706660178</v>
      </c>
      <c r="K223" s="81"/>
      <c r="L223" s="81"/>
      <c r="M223" s="81"/>
    </row>
    <row r="224" spans="1:13">
      <c r="A224" s="12">
        <f t="shared" si="109"/>
        <v>9.9999999999999992E-2</v>
      </c>
      <c r="B224" s="52">
        <f t="shared" ref="B224:J224" si="123">(B102-B189*Melt_fraction)/(1-Melt_fraction)</f>
        <v>4.1484395583649671E-2</v>
      </c>
      <c r="C224" s="52">
        <f t="shared" si="123"/>
        <v>2.040107081102424E-3</v>
      </c>
      <c r="D224" s="7">
        <f t="shared" si="123"/>
        <v>5.8364245830530279E-2</v>
      </c>
      <c r="E224" s="7">
        <f t="shared" si="123"/>
        <v>0.81235118044785559</v>
      </c>
      <c r="F224" s="7">
        <f t="shared" si="123"/>
        <v>41.041243688977026</v>
      </c>
      <c r="G224" s="7">
        <f t="shared" si="123"/>
        <v>0.91329774010896936</v>
      </c>
      <c r="H224" s="7">
        <f t="shared" si="123"/>
        <v>2.8595537220755123</v>
      </c>
      <c r="I224" s="7">
        <f t="shared" si="123"/>
        <v>0.23469538241657767</v>
      </c>
      <c r="J224" s="7">
        <f t="shared" si="123"/>
        <v>0.12103737550383765</v>
      </c>
      <c r="K224" s="81"/>
      <c r="L224" s="81"/>
      <c r="M224" s="81"/>
    </row>
    <row r="225" spans="1:21">
      <c r="A225" s="12">
        <f t="shared" si="109"/>
        <v>1</v>
      </c>
      <c r="B225" s="52">
        <f t="shared" ref="B225:J225" si="124">(B103-B190*Melt_fraction)/(1-Melt_fraction)</f>
        <v>0.41070386008812082</v>
      </c>
      <c r="C225" s="52">
        <f t="shared" si="124"/>
        <v>1.1864345287172902E-2</v>
      </c>
      <c r="D225" s="7">
        <f t="shared" si="124"/>
        <v>0.57957034368839799</v>
      </c>
      <c r="E225" s="7">
        <f t="shared" si="124"/>
        <v>8.1080124299895022</v>
      </c>
      <c r="F225" s="7">
        <f t="shared" si="124"/>
        <v>401.05101364817307</v>
      </c>
      <c r="G225" s="7">
        <f t="shared" si="124"/>
        <v>8.1264787106389704</v>
      </c>
      <c r="H225" s="7">
        <f t="shared" si="124"/>
        <v>26.989275304097792</v>
      </c>
      <c r="I225" s="7">
        <f t="shared" si="124"/>
        <v>1.3849818409269825</v>
      </c>
      <c r="J225" s="7">
        <f t="shared" si="124"/>
        <v>0.66444733485506613</v>
      </c>
      <c r="K225" s="81"/>
      <c r="L225" s="81"/>
      <c r="M225" s="81"/>
    </row>
    <row r="226" spans="1:21">
      <c r="A226" s="12"/>
      <c r="B226" s="7"/>
      <c r="C226" s="7"/>
      <c r="D226" s="7"/>
      <c r="E226" s="7"/>
      <c r="F226" s="7"/>
      <c r="G226" s="7"/>
      <c r="H226" s="7"/>
      <c r="I226" s="7"/>
      <c r="J226" s="7"/>
      <c r="K226" s="58"/>
      <c r="L226" s="58"/>
      <c r="M226" s="58"/>
    </row>
    <row r="227" spans="1:21">
      <c r="A227" s="206" t="str">
        <f>A192</f>
        <v>Ffluid1 (melt)</v>
      </c>
      <c r="B227" s="210" t="s">
        <v>23</v>
      </c>
      <c r="C227" s="210" t="s">
        <v>22</v>
      </c>
      <c r="D227" s="210" t="s">
        <v>21</v>
      </c>
      <c r="E227" s="210" t="s">
        <v>15</v>
      </c>
      <c r="F227" s="210" t="s">
        <v>16</v>
      </c>
      <c r="G227" s="210" t="s">
        <v>19</v>
      </c>
      <c r="H227" s="210" t="s">
        <v>18</v>
      </c>
      <c r="I227" s="210" t="s">
        <v>17</v>
      </c>
      <c r="J227" s="210" t="s">
        <v>20</v>
      </c>
      <c r="K227" s="93"/>
      <c r="L227" s="93"/>
      <c r="M227" s="93"/>
    </row>
    <row r="228" spans="1:21">
      <c r="A228" s="12">
        <f t="shared" ref="A228:A242" si="125">A107</f>
        <v>0</v>
      </c>
      <c r="B228" s="54">
        <f t="shared" ref="B228:J228" si="126">(B107-B193*Melt_fraction)/(1-Melt_fraction)</f>
        <v>4.6001063870840323E-4</v>
      </c>
      <c r="C228" s="54">
        <f t="shared" si="126"/>
        <v>9.485250582057038E-4</v>
      </c>
      <c r="D228" s="3">
        <f t="shared" si="126"/>
        <v>4.5245717965565675E-4</v>
      </c>
      <c r="E228" s="3">
        <f t="shared" si="126"/>
        <v>1.7221527210037927E-3</v>
      </c>
      <c r="F228" s="7">
        <f t="shared" si="126"/>
        <v>1.0401581379552252</v>
      </c>
      <c r="G228" s="7">
        <f t="shared" si="126"/>
        <v>0.11183318782785805</v>
      </c>
      <c r="H228" s="7">
        <f t="shared" si="126"/>
        <v>0.17847354629525777</v>
      </c>
      <c r="I228" s="7">
        <f t="shared" si="126"/>
        <v>0.10688577591542162</v>
      </c>
      <c r="J228" s="7">
        <f t="shared" si="126"/>
        <v>6.0658491131478927E-2</v>
      </c>
      <c r="K228" s="81"/>
      <c r="L228" s="81"/>
      <c r="M228" s="81"/>
    </row>
    <row r="229" spans="1:21">
      <c r="A229" s="12">
        <f t="shared" si="125"/>
        <v>1E-3</v>
      </c>
      <c r="B229" s="54">
        <f t="shared" ref="B229:J229" si="127">(B108-B194*Melt_fraction)/(1-Melt_fraction)</f>
        <v>8.702544881578156E-4</v>
      </c>
      <c r="C229" s="54">
        <f t="shared" si="127"/>
        <v>9.5944087843467026E-4</v>
      </c>
      <c r="D229" s="3">
        <f t="shared" si="127"/>
        <v>1.0315750661644058E-3</v>
      </c>
      <c r="E229" s="7">
        <f t="shared" si="127"/>
        <v>9.8284429982722493E-3</v>
      </c>
      <c r="F229" s="7">
        <f t="shared" si="127"/>
        <v>1.4401689934654438</v>
      </c>
      <c r="G229" s="7">
        <f t="shared" si="127"/>
        <v>0.11984783335066915</v>
      </c>
      <c r="H229" s="7">
        <f t="shared" si="127"/>
        <v>0.20528434805306028</v>
      </c>
      <c r="I229" s="7">
        <f t="shared" si="127"/>
        <v>0.10816387198043319</v>
      </c>
      <c r="J229" s="7">
        <f t="shared" si="127"/>
        <v>6.1262279975202526E-2</v>
      </c>
      <c r="K229" s="81"/>
      <c r="L229" s="81"/>
      <c r="M229" s="81"/>
    </row>
    <row r="230" spans="1:21">
      <c r="A230" s="12">
        <f t="shared" si="125"/>
        <v>2E-3</v>
      </c>
      <c r="B230" s="54">
        <f t="shared" ref="B230:J230" si="128">(B109-B195*Melt_fraction)/(1-Melt_fraction)</f>
        <v>1.2804983376072299E-3</v>
      </c>
      <c r="C230" s="54">
        <f t="shared" si="128"/>
        <v>9.7035669866363673E-4</v>
      </c>
      <c r="D230" s="3">
        <f t="shared" si="128"/>
        <v>1.6106929526731512E-3</v>
      </c>
      <c r="E230" s="7">
        <f t="shared" si="128"/>
        <v>1.7934733275540824E-2</v>
      </c>
      <c r="F230" s="7">
        <f t="shared" si="128"/>
        <v>1.8401798489756627</v>
      </c>
      <c r="G230" s="7">
        <f t="shared" si="128"/>
        <v>0.12786247887348029</v>
      </c>
      <c r="H230" s="7">
        <f t="shared" si="128"/>
        <v>0.23209514981086291</v>
      </c>
      <c r="I230" s="7">
        <f t="shared" si="128"/>
        <v>0.10944196804544473</v>
      </c>
      <c r="J230" s="7">
        <f t="shared" si="128"/>
        <v>6.1866068818926097E-2</v>
      </c>
      <c r="K230" s="81"/>
      <c r="L230" s="81"/>
      <c r="M230" s="81"/>
    </row>
    <row r="231" spans="1:21">
      <c r="A231" s="12">
        <f t="shared" si="125"/>
        <v>5.0000000000000001E-3</v>
      </c>
      <c r="B231" s="54">
        <f t="shared" ref="B231:J231" si="129">(B110-B196*Melt_fraction)/(1-Melt_fraction)</f>
        <v>2.511229885955465E-3</v>
      </c>
      <c r="C231" s="54">
        <f t="shared" si="129"/>
        <v>1.0031041593505398E-3</v>
      </c>
      <c r="D231" s="7">
        <f t="shared" si="129"/>
        <v>3.3480466121993875E-3</v>
      </c>
      <c r="E231" s="7">
        <f t="shared" si="129"/>
        <v>4.2253604107346555E-2</v>
      </c>
      <c r="F231" s="7">
        <f t="shared" si="129"/>
        <v>3.040212415506315</v>
      </c>
      <c r="G231" s="7">
        <f t="shared" si="129"/>
        <v>0.15190641544191361</v>
      </c>
      <c r="H231" s="7">
        <f t="shared" si="129"/>
        <v>0.31252755508427044</v>
      </c>
      <c r="I231" s="7">
        <f t="shared" si="129"/>
        <v>0.11327625624047942</v>
      </c>
      <c r="J231" s="7">
        <f t="shared" si="129"/>
        <v>6.3677435350096873E-2</v>
      </c>
      <c r="K231" s="81"/>
      <c r="L231" s="81"/>
      <c r="M231" s="81"/>
    </row>
    <row r="232" spans="1:21">
      <c r="A232" s="12">
        <f t="shared" si="125"/>
        <v>0.01</v>
      </c>
      <c r="B232" s="54">
        <f t="shared" ref="B232:J232" si="130">(B111-B197*Melt_fraction)/(1-Melt_fraction)</f>
        <v>4.562449133202532E-3</v>
      </c>
      <c r="C232" s="54">
        <f t="shared" si="130"/>
        <v>1.0576832604953757E-3</v>
      </c>
      <c r="D232" s="7">
        <f t="shared" si="130"/>
        <v>6.2436360447431002E-3</v>
      </c>
      <c r="E232" s="7">
        <f t="shared" si="130"/>
        <v>8.2785055493689433E-2</v>
      </c>
      <c r="F232" s="7">
        <f t="shared" si="130"/>
        <v>5.0402666930574034</v>
      </c>
      <c r="G232" s="7">
        <f t="shared" si="130"/>
        <v>0.19197964305596915</v>
      </c>
      <c r="H232" s="7">
        <f t="shared" si="130"/>
        <v>0.44658156387328313</v>
      </c>
      <c r="I232" s="7">
        <f t="shared" si="130"/>
        <v>0.11966673656553722</v>
      </c>
      <c r="J232" s="7">
        <f t="shared" si="130"/>
        <v>6.6696379568714798E-2</v>
      </c>
      <c r="K232" s="81"/>
      <c r="L232" s="81"/>
      <c r="M232" s="81"/>
    </row>
    <row r="233" spans="1:21">
      <c r="A233" s="12">
        <f t="shared" si="125"/>
        <v>0.02</v>
      </c>
      <c r="B233" s="52">
        <f t="shared" ref="B233:J233" si="131">(B112-B198*Melt_fraction)/(1-Melt_fraction)</f>
        <v>8.6648876276966668E-3</v>
      </c>
      <c r="C233" s="52">
        <f t="shared" si="131"/>
        <v>1.1668414627850478E-3</v>
      </c>
      <c r="D233" s="7">
        <f t="shared" si="131"/>
        <v>1.2034814909830525E-2</v>
      </c>
      <c r="E233" s="7">
        <f t="shared" si="131"/>
        <v>0.1638479582663733</v>
      </c>
      <c r="F233" s="7">
        <f t="shared" si="131"/>
        <v>9.040375248159588</v>
      </c>
      <c r="G233" s="7">
        <f t="shared" si="131"/>
        <v>0.27212609828408024</v>
      </c>
      <c r="H233" s="7">
        <f t="shared" si="131"/>
        <v>0.71468958145130823</v>
      </c>
      <c r="I233" s="7">
        <f t="shared" si="131"/>
        <v>0.13244769721565283</v>
      </c>
      <c r="J233" s="7">
        <f t="shared" si="131"/>
        <v>7.2734268005950675E-2</v>
      </c>
      <c r="K233" s="81"/>
      <c r="L233" s="81"/>
      <c r="M233" s="81"/>
    </row>
    <row r="234" spans="1:21">
      <c r="A234" s="12">
        <f t="shared" si="125"/>
        <v>0.03</v>
      </c>
      <c r="B234" s="52">
        <f t="shared" ref="B234:J234" si="132">(B113-B199*Melt_fraction)/(1-Melt_fraction)</f>
        <v>1.2767326122190786E-2</v>
      </c>
      <c r="C234" s="52">
        <f t="shared" si="132"/>
        <v>1.2759996650747198E-3</v>
      </c>
      <c r="D234" s="7">
        <f t="shared" si="132"/>
        <v>1.7825993774917951E-2</v>
      </c>
      <c r="E234" s="7">
        <f t="shared" si="132"/>
        <v>0.24491086103905904</v>
      </c>
      <c r="F234" s="7">
        <f t="shared" si="132"/>
        <v>13.040483803261763</v>
      </c>
      <c r="G234" s="7">
        <f t="shared" si="132"/>
        <v>0.35227255351219133</v>
      </c>
      <c r="H234" s="7">
        <f t="shared" si="132"/>
        <v>0.98279759902933383</v>
      </c>
      <c r="I234" s="7">
        <f t="shared" si="132"/>
        <v>0.14522865786576841</v>
      </c>
      <c r="J234" s="7">
        <f t="shared" si="132"/>
        <v>7.8772156443186525E-2</v>
      </c>
      <c r="K234" s="81"/>
      <c r="L234" s="81"/>
      <c r="M234" s="81"/>
    </row>
    <row r="235" spans="1:21">
      <c r="A235" s="12">
        <f t="shared" si="125"/>
        <v>0.04</v>
      </c>
      <c r="B235" s="52">
        <f t="shared" ref="B235:J235" si="133">(B114-B200*Melt_fraction)/(1-Melt_fraction)</f>
        <v>1.6869764616684921E-2</v>
      </c>
      <c r="C235" s="52">
        <f t="shared" si="133"/>
        <v>1.3851578673643918E-3</v>
      </c>
      <c r="D235" s="7">
        <f t="shared" si="133"/>
        <v>2.3617172640005492E-2</v>
      </c>
      <c r="E235" s="7">
        <f t="shared" si="133"/>
        <v>0.32597376381174104</v>
      </c>
      <c r="F235" s="7">
        <f t="shared" si="133"/>
        <v>17.040592358363941</v>
      </c>
      <c r="G235" s="7">
        <f t="shared" si="133"/>
        <v>0.43241900874030254</v>
      </c>
      <c r="H235" s="7">
        <f t="shared" si="133"/>
        <v>1.2509056166073593</v>
      </c>
      <c r="I235" s="7">
        <f t="shared" si="133"/>
        <v>0.15800961851588405</v>
      </c>
      <c r="J235" s="7">
        <f t="shared" si="133"/>
        <v>8.4810044880422417E-2</v>
      </c>
      <c r="K235" s="81"/>
      <c r="L235" s="81"/>
      <c r="M235" s="81"/>
    </row>
    <row r="236" spans="1:21">
      <c r="A236" s="12">
        <f t="shared" si="125"/>
        <v>0.05</v>
      </c>
      <c r="B236" s="52">
        <f t="shared" ref="B236:J236" si="134">(B115-B201*Melt_fraction)/(1-Melt_fraction)</f>
        <v>2.0972203111179012E-2</v>
      </c>
      <c r="C236" s="52">
        <f t="shared" si="134"/>
        <v>1.4943160696540639E-3</v>
      </c>
      <c r="D236" s="7">
        <f t="shared" si="134"/>
        <v>2.9408351505092918E-2</v>
      </c>
      <c r="E236" s="7">
        <f t="shared" si="134"/>
        <v>0.40703666658442866</v>
      </c>
      <c r="F236" s="7">
        <f t="shared" si="134"/>
        <v>21.040700913466118</v>
      </c>
      <c r="G236" s="7">
        <f t="shared" si="134"/>
        <v>0.51256546396841363</v>
      </c>
      <c r="H236" s="7">
        <f t="shared" si="134"/>
        <v>1.5190136341853855</v>
      </c>
      <c r="I236" s="7">
        <f t="shared" si="134"/>
        <v>0.17079057916599966</v>
      </c>
      <c r="J236" s="7">
        <f t="shared" si="134"/>
        <v>9.084793331765828E-2</v>
      </c>
      <c r="K236" s="81"/>
      <c r="L236" s="81"/>
      <c r="M236" s="81"/>
    </row>
    <row r="237" spans="1:21">
      <c r="A237" s="12">
        <f t="shared" si="125"/>
        <v>6.0000000000000005E-2</v>
      </c>
      <c r="B237" s="52">
        <f t="shared" ref="B237:J237" si="135">(B116-B202*Melt_fraction)/(1-Melt_fraction)</f>
        <v>2.5074641605673163E-2</v>
      </c>
      <c r="C237" s="52">
        <f t="shared" si="135"/>
        <v>1.6034742719437359E-3</v>
      </c>
      <c r="D237" s="7">
        <f t="shared" si="135"/>
        <v>3.5199530370180344E-2</v>
      </c>
      <c r="E237" s="7">
        <f t="shared" si="135"/>
        <v>0.48809956935711635</v>
      </c>
      <c r="F237" s="7">
        <f t="shared" si="135"/>
        <v>25.040809468568291</v>
      </c>
      <c r="G237" s="7">
        <f t="shared" si="135"/>
        <v>0.59271191919652488</v>
      </c>
      <c r="H237" s="7">
        <f t="shared" si="135"/>
        <v>1.7871216517634101</v>
      </c>
      <c r="I237" s="7">
        <f t="shared" si="135"/>
        <v>0.18357153981611526</v>
      </c>
      <c r="J237" s="7">
        <f t="shared" si="135"/>
        <v>9.6885821754894158E-2</v>
      </c>
      <c r="K237" s="81"/>
      <c r="L237" s="81"/>
      <c r="M237" s="81"/>
    </row>
    <row r="238" spans="1:21">
      <c r="A238" s="12">
        <f t="shared" si="125"/>
        <v>7.0000000000000007E-2</v>
      </c>
      <c r="B238" s="52">
        <f t="shared" ref="B238:J238" si="136">(B117-B203*Melt_fraction)/(1-Melt_fraction)</f>
        <v>2.9177080100167251E-2</v>
      </c>
      <c r="C238" s="52">
        <f t="shared" si="136"/>
        <v>1.7126324742334079E-3</v>
      </c>
      <c r="D238" s="7">
        <f t="shared" si="136"/>
        <v>4.0990709235267771E-2</v>
      </c>
      <c r="E238" s="7">
        <f t="shared" si="136"/>
        <v>0.56916247212979643</v>
      </c>
      <c r="F238" s="7">
        <f t="shared" si="136"/>
        <v>29.0409180236705</v>
      </c>
      <c r="G238" s="7">
        <f t="shared" si="136"/>
        <v>0.67285837442463603</v>
      </c>
      <c r="H238" s="7">
        <f t="shared" si="136"/>
        <v>2.0552296693414358</v>
      </c>
      <c r="I238" s="7">
        <f t="shared" si="136"/>
        <v>0.19635250046623084</v>
      </c>
      <c r="J238" s="7">
        <f t="shared" si="136"/>
        <v>0.10292371019213002</v>
      </c>
      <c r="K238" s="81"/>
      <c r="L238" s="81"/>
      <c r="M238" s="81"/>
    </row>
    <row r="239" spans="1:21">
      <c r="A239" s="12">
        <f t="shared" si="125"/>
        <v>0.08</v>
      </c>
      <c r="B239" s="52">
        <f t="shared" ref="B239:J239" si="137">(B118-B204*Melt_fraction)/(1-Melt_fraction)</f>
        <v>3.3279518594661432E-2</v>
      </c>
      <c r="C239" s="52">
        <f t="shared" si="137"/>
        <v>1.82179067652308E-3</v>
      </c>
      <c r="D239" s="7">
        <f t="shared" si="137"/>
        <v>4.6781888100355426E-2</v>
      </c>
      <c r="E239" s="7">
        <f t="shared" si="137"/>
        <v>0.65022537490248022</v>
      </c>
      <c r="F239" s="7">
        <f t="shared" si="137"/>
        <v>33.041026578772673</v>
      </c>
      <c r="G239" s="7">
        <f t="shared" si="137"/>
        <v>0.75300482965274695</v>
      </c>
      <c r="H239" s="7">
        <f t="shared" si="137"/>
        <v>2.3233376869194613</v>
      </c>
      <c r="I239" s="7">
        <f t="shared" si="137"/>
        <v>0.20913346111634648</v>
      </c>
      <c r="J239" s="7">
        <f t="shared" si="137"/>
        <v>0.10896159862936591</v>
      </c>
      <c r="K239" s="81"/>
      <c r="L239" s="81"/>
      <c r="M239" s="81"/>
      <c r="R239" s="83"/>
      <c r="U239" s="1"/>
    </row>
    <row r="240" spans="1:21">
      <c r="A240" s="12">
        <f t="shared" si="125"/>
        <v>0.09</v>
      </c>
      <c r="B240" s="52">
        <f t="shared" ref="B240:J240" si="138">(B119-B205*Melt_fraction)/(1-Melt_fraction)</f>
        <v>3.7381957089155551E-2</v>
      </c>
      <c r="C240" s="52">
        <f t="shared" si="138"/>
        <v>1.930948878812752E-3</v>
      </c>
      <c r="D240" s="7">
        <f t="shared" si="138"/>
        <v>5.2573066965442616E-2</v>
      </c>
      <c r="E240" s="7">
        <f t="shared" si="138"/>
        <v>0.73128827767516791</v>
      </c>
      <c r="F240" s="7">
        <f t="shared" si="138"/>
        <v>37.041135133874825</v>
      </c>
      <c r="G240" s="7">
        <f t="shared" si="138"/>
        <v>0.83315128488085799</v>
      </c>
      <c r="H240" s="7">
        <f t="shared" si="138"/>
        <v>2.5914457044974859</v>
      </c>
      <c r="I240" s="7">
        <f t="shared" si="138"/>
        <v>0.22191442176646212</v>
      </c>
      <c r="J240" s="7">
        <f t="shared" si="138"/>
        <v>0.11499948706660178</v>
      </c>
      <c r="K240" s="81"/>
      <c r="L240" s="81"/>
      <c r="M240" s="81"/>
      <c r="R240" s="39"/>
    </row>
    <row r="241" spans="1:24">
      <c r="A241" s="12">
        <f t="shared" si="125"/>
        <v>9.9999999999999992E-2</v>
      </c>
      <c r="B241" s="52">
        <f t="shared" ref="B241:J241" si="139">(B120-B206*Melt_fraction)/(1-Melt_fraction)</f>
        <v>4.1484395583649671E-2</v>
      </c>
      <c r="C241" s="52">
        <f t="shared" si="139"/>
        <v>2.040107081102424E-3</v>
      </c>
      <c r="D241" s="7">
        <f t="shared" si="139"/>
        <v>5.8364245830530279E-2</v>
      </c>
      <c r="E241" s="7">
        <f t="shared" si="139"/>
        <v>0.81235118044785559</v>
      </c>
      <c r="F241" s="7">
        <f t="shared" si="139"/>
        <v>41.041243688977026</v>
      </c>
      <c r="G241" s="7">
        <f t="shared" si="139"/>
        <v>0.91329774010896936</v>
      </c>
      <c r="H241" s="7">
        <f t="shared" si="139"/>
        <v>2.8595537220755123</v>
      </c>
      <c r="I241" s="7">
        <f t="shared" si="139"/>
        <v>0.23469538241657767</v>
      </c>
      <c r="J241" s="7">
        <f t="shared" si="139"/>
        <v>0.12103737550383765</v>
      </c>
      <c r="K241" s="81"/>
      <c r="L241" s="81"/>
      <c r="M241" s="81"/>
    </row>
    <row r="242" spans="1:24">
      <c r="A242" s="12">
        <f t="shared" si="125"/>
        <v>1</v>
      </c>
      <c r="B242" s="52">
        <f t="shared" ref="B242:J242" si="140">(B121-B207*Melt_fraction)/(1-Melt_fraction)</f>
        <v>0.41070386008812082</v>
      </c>
      <c r="C242" s="52">
        <f t="shared" si="140"/>
        <v>1.1864345287172902E-2</v>
      </c>
      <c r="D242" s="7">
        <f t="shared" si="140"/>
        <v>0.57957034368839799</v>
      </c>
      <c r="E242" s="7">
        <f t="shared" si="140"/>
        <v>8.1080124299895022</v>
      </c>
      <c r="F242" s="7">
        <f t="shared" si="140"/>
        <v>401.05101364817307</v>
      </c>
      <c r="G242" s="7">
        <f t="shared" si="140"/>
        <v>8.1264787106389704</v>
      </c>
      <c r="H242" s="7">
        <f t="shared" si="140"/>
        <v>26.989275304097792</v>
      </c>
      <c r="I242" s="7">
        <f t="shared" si="140"/>
        <v>1.3849818409269825</v>
      </c>
      <c r="J242" s="7">
        <f t="shared" si="140"/>
        <v>0.66444733485506613</v>
      </c>
      <c r="K242" s="81"/>
      <c r="L242" s="81"/>
      <c r="M242" s="81"/>
    </row>
    <row r="243" spans="1:24">
      <c r="B243" s="4"/>
      <c r="C243" s="4"/>
      <c r="D243" s="4"/>
      <c r="E243" s="4"/>
      <c r="F243" s="4"/>
      <c r="G243" s="4"/>
      <c r="H243" s="4"/>
      <c r="I243" s="4"/>
      <c r="J243" s="4"/>
    </row>
    <row r="245" spans="1:24">
      <c r="B245" s="11" t="s">
        <v>111</v>
      </c>
      <c r="C245" s="37"/>
      <c r="D245" s="37"/>
      <c r="I245" s="88" t="s">
        <v>69</v>
      </c>
      <c r="J245" s="7"/>
      <c r="K245" s="7"/>
      <c r="L245" s="7"/>
      <c r="M245" s="7"/>
      <c r="N245" s="7"/>
      <c r="O245" s="7"/>
      <c r="P245" s="7"/>
      <c r="Q245" s="88" t="s">
        <v>149</v>
      </c>
    </row>
    <row r="246" spans="1:24" ht="18">
      <c r="A246" s="178" t="str">
        <f>A210</f>
        <v>Ffluid1 (aq)</v>
      </c>
      <c r="B246" s="185" t="s">
        <v>140</v>
      </c>
      <c r="C246" s="185" t="s">
        <v>141</v>
      </c>
      <c r="D246" s="185" t="s">
        <v>142</v>
      </c>
      <c r="E246" s="185" t="s">
        <v>143</v>
      </c>
      <c r="F246" s="185" t="s">
        <v>144</v>
      </c>
      <c r="G246" s="185" t="s">
        <v>145</v>
      </c>
      <c r="H246" s="186" t="s">
        <v>146</v>
      </c>
      <c r="I246" s="178" t="s">
        <v>129</v>
      </c>
      <c r="J246" s="178" t="s">
        <v>130</v>
      </c>
      <c r="K246" s="178" t="s">
        <v>131</v>
      </c>
      <c r="L246" s="178" t="s">
        <v>132</v>
      </c>
      <c r="M246" s="178" t="s">
        <v>133</v>
      </c>
      <c r="N246" s="178" t="s">
        <v>134</v>
      </c>
      <c r="O246" s="179" t="s">
        <v>135</v>
      </c>
      <c r="P246" s="179" t="s">
        <v>136</v>
      </c>
      <c r="Q246" s="178" t="s">
        <v>129</v>
      </c>
      <c r="R246" s="178" t="s">
        <v>130</v>
      </c>
      <c r="S246" s="178" t="s">
        <v>131</v>
      </c>
      <c r="T246" s="178" t="s">
        <v>132</v>
      </c>
      <c r="U246" s="178" t="s">
        <v>133</v>
      </c>
      <c r="V246" s="178" t="s">
        <v>134</v>
      </c>
      <c r="W246" s="179" t="s">
        <v>150</v>
      </c>
      <c r="X246" s="179" t="s">
        <v>151</v>
      </c>
    </row>
    <row r="247" spans="1:24">
      <c r="A247" s="12">
        <f t="shared" ref="A247:A260" si="141">A89</f>
        <v>0</v>
      </c>
      <c r="B247" s="126">
        <f>(B211/D211)*(0.992745*207.2019/(238.0289*0.01387))</f>
        <v>63.345487519899059</v>
      </c>
      <c r="C247" s="127">
        <f>B247/137.88</f>
        <v>0.45942477168479157</v>
      </c>
      <c r="D247" s="127">
        <f>(C211/D211)*(1*207.2019/(0.01387*232.0381))</f>
        <v>134.96752882616323</v>
      </c>
      <c r="E247" s="127">
        <f>D247/B247</f>
        <v>2.1306573539869773</v>
      </c>
      <c r="F247" s="127">
        <f>(E211/F211)*(87.62*0.2784/(85.4678*0.0986))</f>
        <v>4.7925354137689459E-3</v>
      </c>
      <c r="G247" s="128">
        <f>(G211/H211)*(0.15*144.24/(150.36*0.238))</f>
        <v>0.37884760858087435</v>
      </c>
      <c r="H247" s="127">
        <f>(J211/I211)*(0.0259*178.49/(0.18606*174.967))</f>
        <v>8.0589076753725064E-2</v>
      </c>
      <c r="I247" s="70">
        <f t="shared" ref="I247:I260" si="142">L127</f>
        <v>17.589688322972172</v>
      </c>
      <c r="J247" s="71">
        <f t="shared" ref="J247:J260" si="143">M127</f>
        <v>15.408330676316353</v>
      </c>
      <c r="K247" s="71">
        <f t="shared" ref="K247:K260" si="144">N127</f>
        <v>37.028814251486352</v>
      </c>
      <c r="L247" s="71">
        <f t="shared" ref="L247:L260" si="145">O127</f>
        <v>0.70230594880039665</v>
      </c>
      <c r="M247" s="71">
        <f t="shared" ref="M247:M260" si="146">P127</f>
        <v>0.51292453404694993</v>
      </c>
      <c r="N247" s="71">
        <f t="shared" ref="N247:N260" si="147">Q127</f>
        <v>0.28307144219893121</v>
      </c>
      <c r="O247" s="71">
        <f t="shared" ref="O247:O260" si="148">R127</f>
        <v>10.779543408268033</v>
      </c>
      <c r="P247" s="73">
        <f t="shared" ref="P247:P260" si="149">S127</f>
        <v>14.603082534840883</v>
      </c>
      <c r="Q247" s="70">
        <f>I247+B247*(EXP($H$9*$E$163*1000000)-1)</f>
        <v>19.595594943808948</v>
      </c>
      <c r="R247" s="71">
        <f>J247+C247*(EXP($H$10*$E$163*1000000)-1)</f>
        <v>15.508903704280279</v>
      </c>
      <c r="S247" s="71">
        <f>K247+D247*(EXP($H$11*$E$163*1000000)-1)</f>
        <v>38.377828286610367</v>
      </c>
      <c r="T247" s="72">
        <f>L247+F247*(EXP($H$13*$E$163*1000000)-1)</f>
        <v>0.70231938636742253</v>
      </c>
      <c r="U247" s="72">
        <f>M247+G247*(EXP($H$14*$E$163*1000000)-1)</f>
        <v>0.51342279560453485</v>
      </c>
      <c r="V247" s="72">
        <f>N247+H247*(EXP($H$15*$E$163*1000000)-1)</f>
        <v>0.2833744345692068</v>
      </c>
      <c r="W247" s="71">
        <f>((U247/$V$5)-1)*10000</f>
        <v>15.465259632383432</v>
      </c>
      <c r="X247" s="73">
        <f>((V247/$X$5)-1)*10^4</f>
        <v>20.843912131365272</v>
      </c>
    </row>
    <row r="248" spans="1:24">
      <c r="A248" s="12">
        <f t="shared" si="141"/>
        <v>1E-3</v>
      </c>
      <c r="B248" s="130">
        <f>(B212/D212)*(0.992745*207.2019/(238.0289*0.01387))</f>
        <v>52.561860167170366</v>
      </c>
      <c r="C248" s="38">
        <f t="shared" ref="C248:C260" si="150">B248/137.88</f>
        <v>0.3812145355901535</v>
      </c>
      <c r="D248" s="38">
        <f t="shared" ref="D248:D260" si="151">(C212/D212)*(1*207.2019/(0.01387*232.0381))</f>
        <v>59.879112336494899</v>
      </c>
      <c r="E248" s="38">
        <f t="shared" ref="E248:E260" si="152">D248/B248</f>
        <v>1.139212199607327</v>
      </c>
      <c r="F248" s="38">
        <f t="shared" ref="F248:F260" si="153">(E212/F212)*(87.62*0.2784/(85.4678*0.0986))</f>
        <v>1.975442106924593E-2</v>
      </c>
      <c r="G248" s="37">
        <f t="shared" ref="G248:G260" si="154">(G212/H212)*(0.15*144.24/(150.36*0.238))</f>
        <v>0.35297345668764712</v>
      </c>
      <c r="H248" s="38">
        <f t="shared" ref="H248:H260" si="155">(J212/I212)*(0.0259*178.49/(0.18606*174.967))</f>
        <v>8.042950981205696E-2</v>
      </c>
      <c r="I248" s="74">
        <f t="shared" si="142"/>
        <v>17.856178462850899</v>
      </c>
      <c r="J248" s="57">
        <f t="shared" si="143"/>
        <v>15.439327891123757</v>
      </c>
      <c r="K248" s="57">
        <f t="shared" si="144"/>
        <v>37.459987698944488</v>
      </c>
      <c r="L248" s="57">
        <f t="shared" si="145"/>
        <v>0.70268942023194303</v>
      </c>
      <c r="M248" s="57">
        <f t="shared" si="146"/>
        <v>0.51292553487481163</v>
      </c>
      <c r="N248" s="57">
        <f t="shared" si="147"/>
        <v>0.28307125294100755</v>
      </c>
      <c r="O248" s="57">
        <f t="shared" si="148"/>
        <v>10.799076626937243</v>
      </c>
      <c r="P248" s="76">
        <f t="shared" si="149"/>
        <v>14.596386900089797</v>
      </c>
      <c r="Q248" s="74">
        <f t="shared" ref="Q248:Q260" si="156">I248+B248*(EXP($H$9*$E$163*1000000)-1)</f>
        <v>19.520609307742621</v>
      </c>
      <c r="R248" s="57">
        <f t="shared" ref="R248:R260" si="157">J248+C248*(EXP($H$10*$E$163*1000000)-1)</f>
        <v>15.522779856518579</v>
      </c>
      <c r="S248" s="57">
        <f t="shared" ref="S248:S260" si="158">K248+D248*(EXP($H$11*$E$163*1000000)-1)</f>
        <v>38.058485453591388</v>
      </c>
      <c r="T248" s="75">
        <f t="shared" ref="T248:T260" si="159">L248+F248*(EXP($H$13*$E$163*1000000)-1)</f>
        <v>0.70274480873390621</v>
      </c>
      <c r="U248" s="75">
        <f t="shared" ref="U248:U260" si="160">M248+G248*(EXP($H$14*$E$163*1000000)-1)</f>
        <v>0.51338976666704628</v>
      </c>
      <c r="V248" s="75">
        <f t="shared" ref="V248:V260" si="161">N248+H248*(EXP($H$15*$E$163*1000000)-1)</f>
        <v>0.28337364538424809</v>
      </c>
      <c r="W248" s="57">
        <f t="shared" ref="W248:W260" si="162">((U248/$V$5)-1)*10000</f>
        <v>14.820955992553841</v>
      </c>
      <c r="X248" s="76">
        <f t="shared" ref="X248:X260" si="163">((V248/$X$5)-1)*10^4</f>
        <v>20.816004535180177</v>
      </c>
    </row>
    <row r="249" spans="1:24">
      <c r="A249" s="12">
        <f t="shared" si="141"/>
        <v>2E-3</v>
      </c>
      <c r="B249" s="130">
        <f t="shared" ref="B249:B260" si="164">(B213/D213)*(0.992745*207.2019/(238.0289*0.01387))</f>
        <v>49.532648665142403</v>
      </c>
      <c r="C249" s="38">
        <f t="shared" si="150"/>
        <v>0.35924462333291562</v>
      </c>
      <c r="D249" s="38">
        <f t="shared" si="151"/>
        <v>38.786145428469538</v>
      </c>
      <c r="E249" s="38">
        <f t="shared" si="152"/>
        <v>0.78304202326584849</v>
      </c>
      <c r="F249" s="38">
        <f t="shared" si="153"/>
        <v>2.8211598302418699E-2</v>
      </c>
      <c r="G249" s="37">
        <f t="shared" si="154"/>
        <v>0.33307708380122714</v>
      </c>
      <c r="H249" s="38">
        <f t="shared" si="155"/>
        <v>8.0273669811413303E-2</v>
      </c>
      <c r="I249" s="74">
        <f t="shared" si="142"/>
        <v>17.931037781565532</v>
      </c>
      <c r="J249" s="57">
        <f t="shared" si="143"/>
        <v>15.448035269128772</v>
      </c>
      <c r="K249" s="57">
        <f t="shared" si="144"/>
        <v>37.581107942039573</v>
      </c>
      <c r="L249" s="57">
        <f t="shared" si="145"/>
        <v>0.70290617672474898</v>
      </c>
      <c r="M249" s="57">
        <f t="shared" si="146"/>
        <v>0.51292630447856202</v>
      </c>
      <c r="N249" s="57">
        <f t="shared" si="147"/>
        <v>0.28307106810350541</v>
      </c>
      <c r="O249" s="57">
        <f t="shared" si="148"/>
        <v>10.814097030464875</v>
      </c>
      <c r="P249" s="76">
        <f t="shared" si="149"/>
        <v>14.58984765259741</v>
      </c>
      <c r="Q249" s="74">
        <f t="shared" si="156"/>
        <v>19.499545212718843</v>
      </c>
      <c r="R249" s="57">
        <f t="shared" si="157"/>
        <v>15.526677784237078</v>
      </c>
      <c r="S249" s="57">
        <f t="shared" si="158"/>
        <v>37.968779369429775</v>
      </c>
      <c r="T249" s="75">
        <f t="shared" si="159"/>
        <v>0.70298527791240117</v>
      </c>
      <c r="U249" s="75">
        <f t="shared" si="160"/>
        <v>0.51336436849905909</v>
      </c>
      <c r="V249" s="75">
        <f t="shared" si="161"/>
        <v>0.28337287463196592</v>
      </c>
      <c r="W249" s="57">
        <f t="shared" si="162"/>
        <v>14.325507657746428</v>
      </c>
      <c r="X249" s="76">
        <f t="shared" si="163"/>
        <v>20.788748765525611</v>
      </c>
    </row>
    <row r="250" spans="1:24">
      <c r="A250" s="12">
        <f t="shared" si="141"/>
        <v>5.0000000000000001E-3</v>
      </c>
      <c r="B250" s="130">
        <f t="shared" si="164"/>
        <v>46.732634730828146</v>
      </c>
      <c r="C250" s="38">
        <f t="shared" si="150"/>
        <v>0.33893700849164599</v>
      </c>
      <c r="D250" s="38">
        <f t="shared" si="151"/>
        <v>19.289124101646408</v>
      </c>
      <c r="E250" s="38">
        <f t="shared" si="152"/>
        <v>0.41275490270874754</v>
      </c>
      <c r="F250" s="38">
        <f t="shared" si="153"/>
        <v>4.0230262881251019E-2</v>
      </c>
      <c r="G250" s="37">
        <f t="shared" si="154"/>
        <v>0.29387016712943514</v>
      </c>
      <c r="H250" s="38">
        <f t="shared" si="155"/>
        <v>7.9827249923296609E-2</v>
      </c>
      <c r="I250" s="74">
        <f t="shared" si="142"/>
        <v>18.000233060724447</v>
      </c>
      <c r="J250" s="57">
        <f t="shared" si="143"/>
        <v>15.456083825569637</v>
      </c>
      <c r="K250" s="57">
        <f t="shared" si="144"/>
        <v>37.693063930641465</v>
      </c>
      <c r="L250" s="57">
        <f t="shared" si="145"/>
        <v>0.70321421373408377</v>
      </c>
      <c r="M250" s="57">
        <f t="shared" si="146"/>
        <v>0.51292782102583834</v>
      </c>
      <c r="N250" s="57">
        <f t="shared" si="147"/>
        <v>0.28307053861725845</v>
      </c>
      <c r="O250" s="57">
        <f t="shared" si="148"/>
        <v>10.843695576532308</v>
      </c>
      <c r="P250" s="76">
        <f t="shared" si="149"/>
        <v>14.571115298107618</v>
      </c>
      <c r="Q250" s="74">
        <f t="shared" si="156"/>
        <v>19.480074878758721</v>
      </c>
      <c r="R250" s="57">
        <f t="shared" si="157"/>
        <v>15.530280785189452</v>
      </c>
      <c r="S250" s="57">
        <f t="shared" si="158"/>
        <v>37.885860667491293</v>
      </c>
      <c r="T250" s="75">
        <f t="shared" si="159"/>
        <v>0.70332701349605953</v>
      </c>
      <c r="U250" s="75">
        <f t="shared" si="160"/>
        <v>0.51331431998712285</v>
      </c>
      <c r="V250" s="75">
        <f t="shared" si="161"/>
        <v>0.28337066673190053</v>
      </c>
      <c r="W250" s="57">
        <f t="shared" si="162"/>
        <v>13.349198976315702</v>
      </c>
      <c r="X250" s="76">
        <f t="shared" si="163"/>
        <v>20.710671778931822</v>
      </c>
    </row>
    <row r="251" spans="1:24">
      <c r="A251" s="12">
        <f t="shared" si="141"/>
        <v>0.01</v>
      </c>
      <c r="B251" s="130">
        <f t="shared" si="164"/>
        <v>45.528752175036772</v>
      </c>
      <c r="C251" s="38">
        <f t="shared" si="150"/>
        <v>0.33020562935187681</v>
      </c>
      <c r="D251" s="38">
        <f t="shared" si="151"/>
        <v>10.90626443884015</v>
      </c>
      <c r="E251" s="38">
        <f t="shared" si="152"/>
        <v>0.23954674612892224</v>
      </c>
      <c r="F251" s="38">
        <f t="shared" si="153"/>
        <v>4.7543534749724642E-2</v>
      </c>
      <c r="G251" s="37">
        <f t="shared" si="154"/>
        <v>0.25990946082665684</v>
      </c>
      <c r="H251" s="38">
        <f t="shared" si="155"/>
        <v>7.9146789720064267E-2</v>
      </c>
      <c r="I251" s="74">
        <f t="shared" si="142"/>
        <v>18.029983980354402</v>
      </c>
      <c r="J251" s="57">
        <f t="shared" si="143"/>
        <v>15.459544350026215</v>
      </c>
      <c r="K251" s="57">
        <f t="shared" si="144"/>
        <v>37.741200070266501</v>
      </c>
      <c r="L251" s="57">
        <f t="shared" si="145"/>
        <v>0.70340165206219751</v>
      </c>
      <c r="M251" s="57">
        <f t="shared" si="146"/>
        <v>0.5129291346465209</v>
      </c>
      <c r="N251" s="57">
        <f t="shared" si="147"/>
        <v>0.28306973154228537</v>
      </c>
      <c r="O251" s="57">
        <f t="shared" si="148"/>
        <v>10.869333591843056</v>
      </c>
      <c r="P251" s="76">
        <f t="shared" si="149"/>
        <v>14.542562310033702</v>
      </c>
      <c r="Q251" s="74">
        <f t="shared" si="156"/>
        <v>19.471703493487109</v>
      </c>
      <c r="R251" s="57">
        <f t="shared" si="157"/>
        <v>15.531829916764085</v>
      </c>
      <c r="S251" s="57">
        <f t="shared" si="158"/>
        <v>37.850209281050226</v>
      </c>
      <c r="T251" s="75">
        <f t="shared" si="159"/>
        <v>0.70353495716684178</v>
      </c>
      <c r="U251" s="75">
        <f t="shared" si="160"/>
        <v>0.51327096838084918</v>
      </c>
      <c r="V251" s="75">
        <f t="shared" si="161"/>
        <v>0.28336730131703625</v>
      </c>
      <c r="W251" s="57">
        <f t="shared" si="162"/>
        <v>12.503528487390891</v>
      </c>
      <c r="X251" s="76">
        <f t="shared" si="163"/>
        <v>20.591662112072751</v>
      </c>
    </row>
    <row r="252" spans="1:24">
      <c r="A252" s="12">
        <f t="shared" si="141"/>
        <v>0.02</v>
      </c>
      <c r="B252" s="130">
        <f t="shared" si="164"/>
        <v>44.858919702729978</v>
      </c>
      <c r="C252" s="38">
        <f t="shared" si="150"/>
        <v>0.32534754643697406</v>
      </c>
      <c r="D252" s="38">
        <f t="shared" si="151"/>
        <v>6.2420955081363179</v>
      </c>
      <c r="E252" s="38">
        <f t="shared" si="152"/>
        <v>0.1391494835252674</v>
      </c>
      <c r="F252" s="38">
        <f t="shared" si="153"/>
        <v>5.2462334981392016E-2</v>
      </c>
      <c r="G252" s="37">
        <f t="shared" si="154"/>
        <v>0.23020801621292883</v>
      </c>
      <c r="H252" s="38">
        <f t="shared" si="155"/>
        <v>7.7982858810532643E-2</v>
      </c>
      <c r="I252" s="74">
        <f t="shared" si="142"/>
        <v>18.046537199730555</v>
      </c>
      <c r="J252" s="57">
        <f t="shared" si="143"/>
        <v>15.461469763465491</v>
      </c>
      <c r="K252" s="57">
        <f t="shared" si="144"/>
        <v>37.767982707208319</v>
      </c>
      <c r="L252" s="57">
        <f t="shared" si="145"/>
        <v>0.70352772035397315</v>
      </c>
      <c r="M252" s="57">
        <f t="shared" si="146"/>
        <v>0.51293028351638248</v>
      </c>
      <c r="N252" s="57">
        <f t="shared" si="147"/>
        <v>0.2830683510361176</v>
      </c>
      <c r="O252" s="57">
        <f t="shared" si="148"/>
        <v>10.891756155291255</v>
      </c>
      <c r="P252" s="76">
        <f t="shared" si="149"/>
        <v>14.493722267336917</v>
      </c>
      <c r="Q252" s="74">
        <f t="shared" si="156"/>
        <v>19.467045708833503</v>
      </c>
      <c r="R252" s="57">
        <f t="shared" si="157"/>
        <v>15.532691843558835</v>
      </c>
      <c r="S252" s="57">
        <f t="shared" si="158"/>
        <v>37.8303730800802</v>
      </c>
      <c r="T252" s="75">
        <f t="shared" si="159"/>
        <v>0.7036748170536905</v>
      </c>
      <c r="U252" s="75">
        <f t="shared" si="160"/>
        <v>0.51323305381802553</v>
      </c>
      <c r="V252" s="75">
        <f t="shared" si="161"/>
        <v>0.28336154475645364</v>
      </c>
      <c r="W252" s="57">
        <f t="shared" si="162"/>
        <v>11.76391974768265</v>
      </c>
      <c r="X252" s="76">
        <f t="shared" si="163"/>
        <v>20.388095424213049</v>
      </c>
    </row>
    <row r="253" spans="1:24">
      <c r="A253" s="12">
        <f t="shared" si="141"/>
        <v>0.03</v>
      </c>
      <c r="B253" s="130">
        <f t="shared" si="164"/>
        <v>44.624307808389496</v>
      </c>
      <c r="C253" s="38">
        <f t="shared" si="150"/>
        <v>0.32364598062365463</v>
      </c>
      <c r="D253" s="38">
        <f t="shared" si="151"/>
        <v>4.6084489568013485</v>
      </c>
      <c r="E253" s="38">
        <f t="shared" si="152"/>
        <v>0.10327216674350179</v>
      </c>
      <c r="F253" s="38">
        <f t="shared" si="153"/>
        <v>5.4363496422295057E-2</v>
      </c>
      <c r="G253" s="37">
        <f>(G217/H217)*(0.15*144.24/(150.36*0.238))</f>
        <v>0.21671173010275227</v>
      </c>
      <c r="H253" s="38">
        <f t="shared" si="155"/>
        <v>7.7023793185481235E-2</v>
      </c>
      <c r="I253" s="74">
        <f t="shared" si="142"/>
        <v>18.052335040706968</v>
      </c>
      <c r="J253" s="57">
        <f t="shared" si="143"/>
        <v>15.462144148349852</v>
      </c>
      <c r="K253" s="57">
        <f t="shared" si="144"/>
        <v>37.777363448584914</v>
      </c>
      <c r="L253" s="57">
        <f t="shared" si="145"/>
        <v>0.70357644690596866</v>
      </c>
      <c r="M253" s="57">
        <f t="shared" si="146"/>
        <v>0.5129308055609012</v>
      </c>
      <c r="N253" s="57">
        <f t="shared" si="147"/>
        <v>0.28306721351498138</v>
      </c>
      <c r="O253" s="57">
        <f t="shared" si="148"/>
        <v>10.901944930132856</v>
      </c>
      <c r="P253" s="76">
        <f t="shared" si="149"/>
        <v>14.4534786362982</v>
      </c>
      <c r="Q253" s="74">
        <f t="shared" si="156"/>
        <v>19.46541429840449</v>
      </c>
      <c r="R253" s="57">
        <f t="shared" si="157"/>
        <v>15.532993737370287</v>
      </c>
      <c r="S253" s="57">
        <f t="shared" si="158"/>
        <v>37.823425359749379</v>
      </c>
      <c r="T253" s="75">
        <f t="shared" si="159"/>
        <v>0.7037288741837795</v>
      </c>
      <c r="U253" s="75">
        <f t="shared" si="160"/>
        <v>0.51321582550491618</v>
      </c>
      <c r="V253" s="75">
        <f t="shared" si="161"/>
        <v>0.28335680141702674</v>
      </c>
      <c r="W253" s="57">
        <f t="shared" si="162"/>
        <v>11.427842789462073</v>
      </c>
      <c r="X253" s="76">
        <f t="shared" si="163"/>
        <v>20.220358824787343</v>
      </c>
    </row>
    <row r="254" spans="1:24">
      <c r="A254" s="12">
        <f t="shared" si="141"/>
        <v>0.04</v>
      </c>
      <c r="B254" s="130">
        <f t="shared" si="164"/>
        <v>44.504754516931833</v>
      </c>
      <c r="C254" s="38">
        <f t="shared" si="150"/>
        <v>0.32277889844017865</v>
      </c>
      <c r="D254" s="38">
        <f t="shared" si="151"/>
        <v>3.7759770020468504</v>
      </c>
      <c r="E254" s="38">
        <f t="shared" si="152"/>
        <v>8.484435074482391E-2</v>
      </c>
      <c r="F254" s="38">
        <f t="shared" si="153"/>
        <v>5.5372100611142311E-2</v>
      </c>
      <c r="G254" s="37">
        <f t="shared" si="154"/>
        <v>0.20900079256824067</v>
      </c>
      <c r="H254" s="38">
        <f t="shared" si="155"/>
        <v>7.6219879887608311E-2</v>
      </c>
      <c r="I254" s="74">
        <f t="shared" si="142"/>
        <v>18.055289498638544</v>
      </c>
      <c r="J254" s="57">
        <f t="shared" si="143"/>
        <v>15.462487800716072</v>
      </c>
      <c r="K254" s="57">
        <f t="shared" si="144"/>
        <v>37.782143677272948</v>
      </c>
      <c r="L254" s="57">
        <f t="shared" si="145"/>
        <v>0.70360229731687729</v>
      </c>
      <c r="M254" s="57">
        <f t="shared" si="146"/>
        <v>0.51293110382463403</v>
      </c>
      <c r="N254" s="57">
        <f t="shared" si="147"/>
        <v>0.28306626001571689</v>
      </c>
      <c r="O254" s="57">
        <f t="shared" si="148"/>
        <v>10.907766161671884</v>
      </c>
      <c r="P254" s="76">
        <f t="shared" si="149"/>
        <v>14.419745397089567</v>
      </c>
      <c r="Q254" s="74">
        <f t="shared" si="156"/>
        <v>19.464582965930674</v>
      </c>
      <c r="R254" s="57">
        <f t="shared" si="157"/>
        <v>15.533147576112906</v>
      </c>
      <c r="S254" s="57">
        <f t="shared" si="158"/>
        <v>37.819884947461183</v>
      </c>
      <c r="T254" s="75">
        <f t="shared" si="159"/>
        <v>0.70375755257303774</v>
      </c>
      <c r="U254" s="75">
        <f t="shared" si="160"/>
        <v>0.51320598231952974</v>
      </c>
      <c r="V254" s="75">
        <f t="shared" si="161"/>
        <v>0.28335282542879192</v>
      </c>
      <c r="W254" s="57">
        <f t="shared" si="162"/>
        <v>11.235829341429415</v>
      </c>
      <c r="X254" s="76">
        <f t="shared" si="163"/>
        <v>20.079757723781011</v>
      </c>
    </row>
    <row r="255" spans="1:24">
      <c r="A255" s="12">
        <f t="shared" si="141"/>
        <v>0.05</v>
      </c>
      <c r="B255" s="130">
        <f t="shared" si="164"/>
        <v>44.432286795341803</v>
      </c>
      <c r="C255" s="38">
        <f t="shared" si="150"/>
        <v>0.32225331299203513</v>
      </c>
      <c r="D255" s="38">
        <f t="shared" si="151"/>
        <v>3.2713706870455788</v>
      </c>
      <c r="E255" s="38">
        <f t="shared" si="152"/>
        <v>7.3625980632366264E-2</v>
      </c>
      <c r="F255" s="38">
        <f t="shared" si="153"/>
        <v>5.5997207476292568E-2</v>
      </c>
      <c r="G255" s="37">
        <f t="shared" si="154"/>
        <v>0.20401183741692794</v>
      </c>
      <c r="H255" s="38">
        <f t="shared" si="155"/>
        <v>7.5536286858878934E-2</v>
      </c>
      <c r="I255" s="74">
        <f t="shared" si="142"/>
        <v>18.057080355521073</v>
      </c>
      <c r="J255" s="57">
        <f t="shared" si="143"/>
        <v>15.46269610701777</v>
      </c>
      <c r="K255" s="57">
        <f t="shared" si="144"/>
        <v>37.785041232643266</v>
      </c>
      <c r="L255" s="57">
        <f t="shared" si="145"/>
        <v>0.70361831873489689</v>
      </c>
      <c r="M255" s="57">
        <f t="shared" si="146"/>
        <v>0.51293129680044003</v>
      </c>
      <c r="N255" s="57">
        <f t="shared" si="147"/>
        <v>0.28306544922498633</v>
      </c>
      <c r="O255" s="57">
        <f t="shared" si="148"/>
        <v>10.911532482296149</v>
      </c>
      <c r="P255" s="76">
        <f t="shared" si="149"/>
        <v>14.391060951612911</v>
      </c>
      <c r="Q255" s="74">
        <f t="shared" si="156"/>
        <v>19.464079050316759</v>
      </c>
      <c r="R255" s="57">
        <f t="shared" si="157"/>
        <v>15.533240826102382</v>
      </c>
      <c r="S255" s="57">
        <f t="shared" si="158"/>
        <v>37.817738911924344</v>
      </c>
      <c r="T255" s="75">
        <f t="shared" si="159"/>
        <v>0.70377532669910725</v>
      </c>
      <c r="U255" s="75">
        <f t="shared" si="160"/>
        <v>0.51319961380594492</v>
      </c>
      <c r="V255" s="75">
        <f t="shared" si="161"/>
        <v>0.28334944451962324</v>
      </c>
      <c r="W255" s="57">
        <f t="shared" si="162"/>
        <v>11.1115971742759</v>
      </c>
      <c r="X255" s="76">
        <f t="shared" si="163"/>
        <v>19.960200138735562</v>
      </c>
    </row>
    <row r="256" spans="1:24">
      <c r="A256" s="12">
        <f t="shared" si="141"/>
        <v>6.0000000000000005E-2</v>
      </c>
      <c r="B256" s="130">
        <f t="shared" si="164"/>
        <v>44.383664479259259</v>
      </c>
      <c r="C256" s="38">
        <f t="shared" si="150"/>
        <v>0.3219006707227971</v>
      </c>
      <c r="D256" s="38">
        <f t="shared" si="151"/>
        <v>2.9328043956407948</v>
      </c>
      <c r="E256" s="38">
        <f t="shared" si="152"/>
        <v>6.6078464454220789E-2</v>
      </c>
      <c r="F256" s="38">
        <f t="shared" si="153"/>
        <v>5.642260072417505E-2</v>
      </c>
      <c r="G256" s="37">
        <f t="shared" si="154"/>
        <v>0.20051979085500476</v>
      </c>
      <c r="H256" s="38">
        <f t="shared" si="155"/>
        <v>7.4947882611696368E-2</v>
      </c>
      <c r="I256" s="74">
        <f t="shared" si="142"/>
        <v>18.058281933375191</v>
      </c>
      <c r="J256" s="57">
        <f t="shared" si="143"/>
        <v>15.462835870413404</v>
      </c>
      <c r="K256" s="57">
        <f t="shared" si="144"/>
        <v>37.78698535134869</v>
      </c>
      <c r="L256" s="57">
        <f t="shared" si="145"/>
        <v>0.70362922151556861</v>
      </c>
      <c r="M256" s="57">
        <f t="shared" si="146"/>
        <v>0.51293143187491541</v>
      </c>
      <c r="N256" s="57">
        <f t="shared" si="147"/>
        <v>0.2830647513350294</v>
      </c>
      <c r="O256" s="57">
        <f t="shared" si="148"/>
        <v>10.914168739104557</v>
      </c>
      <c r="P256" s="76">
        <f t="shared" si="149"/>
        <v>14.366370750229507</v>
      </c>
      <c r="Q256" s="74">
        <f t="shared" si="156"/>
        <v>19.463740947452187</v>
      </c>
      <c r="R256" s="57">
        <f t="shared" si="157"/>
        <v>15.533303392309289</v>
      </c>
      <c r="S256" s="57">
        <f t="shared" si="158"/>
        <v>37.816299026470418</v>
      </c>
      <c r="T256" s="75">
        <f t="shared" si="159"/>
        <v>0.70378742222011093</v>
      </c>
      <c r="U256" s="75">
        <f t="shared" si="160"/>
        <v>0.51319515612987976</v>
      </c>
      <c r="V256" s="75">
        <f t="shared" si="161"/>
        <v>0.28334653439440172</v>
      </c>
      <c r="W256" s="57">
        <f t="shared" si="162"/>
        <v>11.024640186483303</v>
      </c>
      <c r="X256" s="76">
        <f t="shared" si="163"/>
        <v>19.857290676723593</v>
      </c>
    </row>
    <row r="257" spans="1:24">
      <c r="A257" s="12">
        <f t="shared" si="141"/>
        <v>7.0000000000000007E-2</v>
      </c>
      <c r="B257" s="130">
        <f t="shared" si="164"/>
        <v>44.348780912006397</v>
      </c>
      <c r="C257" s="38">
        <f t="shared" si="150"/>
        <v>0.32164767125040905</v>
      </c>
      <c r="D257" s="38">
        <f t="shared" si="151"/>
        <v>2.6899035849165678</v>
      </c>
      <c r="E257" s="38">
        <f t="shared" si="152"/>
        <v>6.0653382789792522E-2</v>
      </c>
      <c r="F257" s="38">
        <f t="shared" si="153"/>
        <v>5.6730806273737354E-2</v>
      </c>
      <c r="G257" s="37">
        <f t="shared" si="154"/>
        <v>0.19793883047967531</v>
      </c>
      <c r="H257" s="38">
        <f t="shared" si="155"/>
        <v>7.4436079085276163E-2</v>
      </c>
      <c r="I257" s="74">
        <f t="shared" si="142"/>
        <v>18.059143992718727</v>
      </c>
      <c r="J257" s="57">
        <f t="shared" si="143"/>
        <v>15.462936142185786</v>
      </c>
      <c r="K257" s="57">
        <f t="shared" si="144"/>
        <v>37.78838013878525</v>
      </c>
      <c r="L257" s="57">
        <f t="shared" si="145"/>
        <v>0.70363712078883012</v>
      </c>
      <c r="M257" s="57">
        <f t="shared" si="146"/>
        <v>0.51293153170802541</v>
      </c>
      <c r="N257" s="57">
        <f t="shared" si="147"/>
        <v>0.28306414429906268</v>
      </c>
      <c r="O257" s="57">
        <f t="shared" si="148"/>
        <v>10.916117188026764</v>
      </c>
      <c r="P257" s="76">
        <f t="shared" si="149"/>
        <v>14.344894813920206</v>
      </c>
      <c r="Q257" s="74">
        <f t="shared" si="156"/>
        <v>19.463498379122143</v>
      </c>
      <c r="R257" s="57">
        <f t="shared" si="157"/>
        <v>15.533348279773772</v>
      </c>
      <c r="S257" s="57">
        <f t="shared" si="158"/>
        <v>37.815265995855782</v>
      </c>
      <c r="T257" s="75">
        <f t="shared" si="159"/>
        <v>0.70379618565657054</v>
      </c>
      <c r="U257" s="75">
        <f t="shared" si="160"/>
        <v>0.51319186147584628</v>
      </c>
      <c r="V257" s="75">
        <f t="shared" si="161"/>
        <v>0.28334400312043856</v>
      </c>
      <c r="W257" s="57">
        <f t="shared" si="162"/>
        <v>10.960370556662991</v>
      </c>
      <c r="X257" s="76">
        <f t="shared" si="163"/>
        <v>19.767778363015687</v>
      </c>
    </row>
    <row r="258" spans="1:24">
      <c r="A258" s="12">
        <f t="shared" si="141"/>
        <v>0.08</v>
      </c>
      <c r="B258" s="130">
        <f t="shared" si="164"/>
        <v>44.322533891315231</v>
      </c>
      <c r="C258" s="38">
        <f t="shared" si="150"/>
        <v>0.32145730991670463</v>
      </c>
      <c r="D258" s="38">
        <f t="shared" si="151"/>
        <v>2.507140665094088</v>
      </c>
      <c r="E258" s="38">
        <f t="shared" si="152"/>
        <v>5.6565824310539907E-2</v>
      </c>
      <c r="F258" s="38">
        <f t="shared" si="153"/>
        <v>5.6964386075665063E-2</v>
      </c>
      <c r="G258" s="37">
        <f t="shared" si="154"/>
        <v>0.19595354431354306</v>
      </c>
      <c r="H258" s="38">
        <f t="shared" si="155"/>
        <v>7.3986832174108716E-2</v>
      </c>
      <c r="I258" s="74">
        <f t="shared" si="142"/>
        <v>18.059792621606444</v>
      </c>
      <c r="J258" s="57">
        <f t="shared" si="143"/>
        <v>15.463011588462981</v>
      </c>
      <c r="K258" s="57">
        <f t="shared" si="144"/>
        <v>37.789429601830165</v>
      </c>
      <c r="L258" s="57">
        <f t="shared" si="145"/>
        <v>0.70364310741264802</v>
      </c>
      <c r="M258" s="57">
        <f t="shared" si="146"/>
        <v>0.51293160850009634</v>
      </c>
      <c r="N258" s="57">
        <f t="shared" si="147"/>
        <v>0.28306361145976205</v>
      </c>
      <c r="O258" s="57">
        <f t="shared" si="148"/>
        <v>10.917615943577541</v>
      </c>
      <c r="P258" s="76">
        <f t="shared" si="149"/>
        <v>14.326043833894353</v>
      </c>
      <c r="Q258" s="74">
        <f t="shared" si="156"/>
        <v>19.463315866366738</v>
      </c>
      <c r="R258" s="57">
        <f t="shared" si="157"/>
        <v>15.533382053905891</v>
      </c>
      <c r="S258" s="57">
        <f t="shared" si="158"/>
        <v>37.814488725121947</v>
      </c>
      <c r="T258" s="75">
        <f t="shared" si="159"/>
        <v>0.7038028272039254</v>
      </c>
      <c r="U258" s="75">
        <f t="shared" si="160"/>
        <v>0.51318932721335331</v>
      </c>
      <c r="V258" s="75">
        <f t="shared" si="161"/>
        <v>0.28334178123850418</v>
      </c>
      <c r="W258" s="57">
        <f t="shared" si="162"/>
        <v>10.910934072396739</v>
      </c>
      <c r="X258" s="76">
        <f t="shared" si="163"/>
        <v>19.689206941817528</v>
      </c>
    </row>
    <row r="259" spans="1:24">
      <c r="A259" s="12">
        <f t="shared" si="141"/>
        <v>0.09</v>
      </c>
      <c r="B259" s="130">
        <f t="shared" si="164"/>
        <v>44.302069344437378</v>
      </c>
      <c r="C259" s="38">
        <f t="shared" si="150"/>
        <v>0.32130888703537408</v>
      </c>
      <c r="D259" s="38">
        <f t="shared" si="151"/>
        <v>2.3646421931986774</v>
      </c>
      <c r="E259" s="38">
        <f t="shared" si="152"/>
        <v>5.3375434335000985E-2</v>
      </c>
      <c r="F259" s="38">
        <f t="shared" si="153"/>
        <v>5.7147516853252291E-2</v>
      </c>
      <c r="G259" s="37">
        <f t="shared" si="154"/>
        <v>0.19437904903328829</v>
      </c>
      <c r="H259" s="38">
        <f t="shared" si="155"/>
        <v>7.3589333202963444E-2</v>
      </c>
      <c r="I259" s="74">
        <f t="shared" si="142"/>
        <v>18.060298351244697</v>
      </c>
      <c r="J259" s="57">
        <f t="shared" si="143"/>
        <v>15.463070413191875</v>
      </c>
      <c r="K259" s="57">
        <f t="shared" si="144"/>
        <v>37.790247857964161</v>
      </c>
      <c r="L259" s="57">
        <f t="shared" si="145"/>
        <v>0.70364780103369684</v>
      </c>
      <c r="M259" s="57">
        <f t="shared" si="146"/>
        <v>0.5129316694025271</v>
      </c>
      <c r="N259" s="57">
        <f t="shared" si="147"/>
        <v>0.2830631399972578</v>
      </c>
      <c r="O259" s="57">
        <f t="shared" si="148"/>
        <v>10.918804580049013</v>
      </c>
      <c r="P259" s="76">
        <f t="shared" si="149"/>
        <v>14.309364264202262</v>
      </c>
      <c r="Q259" s="74">
        <f t="shared" si="156"/>
        <v>19.463173562945624</v>
      </c>
      <c r="R259" s="57">
        <f t="shared" si="157"/>
        <v>15.533408387268375</v>
      </c>
      <c r="S259" s="57">
        <f t="shared" si="158"/>
        <v>37.813882694686853</v>
      </c>
      <c r="T259" s="75">
        <f t="shared" si="159"/>
        <v>0.70380803429683947</v>
      </c>
      <c r="U259" s="75">
        <f t="shared" si="160"/>
        <v>0.51318731733467582</v>
      </c>
      <c r="V259" s="75">
        <f t="shared" si="161"/>
        <v>0.28333981529113544</v>
      </c>
      <c r="W259" s="57">
        <f t="shared" si="162"/>
        <v>10.871726872712095</v>
      </c>
      <c r="X259" s="76">
        <f t="shared" si="163"/>
        <v>19.619686020666549</v>
      </c>
    </row>
    <row r="260" spans="1:24">
      <c r="A260" s="12">
        <f t="shared" si="141"/>
        <v>9.9999999999999992E-2</v>
      </c>
      <c r="B260" s="132">
        <f t="shared" si="164"/>
        <v>44.285665977470813</v>
      </c>
      <c r="C260" s="133">
        <f t="shared" si="150"/>
        <v>0.32118991860654783</v>
      </c>
      <c r="D260" s="133">
        <f t="shared" si="151"/>
        <v>2.2504224774836721</v>
      </c>
      <c r="E260" s="133">
        <f t="shared" si="152"/>
        <v>5.0816046858785331E-2</v>
      </c>
      <c r="F260" s="133">
        <f t="shared" si="153"/>
        <v>5.7294949736512439E-2</v>
      </c>
      <c r="G260" s="134">
        <f t="shared" si="154"/>
        <v>0.19309979899009003</v>
      </c>
      <c r="H260" s="133">
        <f t="shared" si="155"/>
        <v>7.3235127957125973E-2</v>
      </c>
      <c r="I260" s="77">
        <f t="shared" si="142"/>
        <v>18.060703719068929</v>
      </c>
      <c r="J260" s="78">
        <f t="shared" si="143"/>
        <v>15.463117564180385</v>
      </c>
      <c r="K260" s="78">
        <f t="shared" si="144"/>
        <v>37.790903731544866</v>
      </c>
      <c r="L260" s="78">
        <f t="shared" si="145"/>
        <v>0.70365157972176473</v>
      </c>
      <c r="M260" s="78">
        <f t="shared" si="146"/>
        <v>0.51293171888469358</v>
      </c>
      <c r="N260" s="78">
        <f t="shared" si="147"/>
        <v>0.28306271988424037</v>
      </c>
      <c r="O260" s="78">
        <f t="shared" si="148"/>
        <v>10.919770326522915</v>
      </c>
      <c r="P260" s="80">
        <f t="shared" si="149"/>
        <v>14.294501355083256</v>
      </c>
      <c r="Q260" s="77">
        <f t="shared" si="156"/>
        <v>19.463059499572932</v>
      </c>
      <c r="R260" s="78">
        <f t="shared" si="157"/>
        <v>15.533429494787187</v>
      </c>
      <c r="S260" s="78">
        <f t="shared" si="158"/>
        <v>37.813396930712749</v>
      </c>
      <c r="T260" s="79">
        <f t="shared" si="159"/>
        <v>0.70381222636510798</v>
      </c>
      <c r="U260" s="79">
        <f t="shared" si="160"/>
        <v>0.51318568434319167</v>
      </c>
      <c r="V260" s="79">
        <f t="shared" si="161"/>
        <v>0.28333806346554202</v>
      </c>
      <c r="W260" s="78">
        <f t="shared" si="162"/>
        <v>10.839871704575454</v>
      </c>
      <c r="X260" s="80">
        <f t="shared" si="163"/>
        <v>19.557736992485975</v>
      </c>
    </row>
    <row r="261" spans="1:24">
      <c r="A261" s="12"/>
      <c r="B261" s="38"/>
      <c r="C261" s="38"/>
      <c r="D261" s="38"/>
      <c r="E261" s="38"/>
      <c r="F261" s="38"/>
      <c r="G261" s="37"/>
      <c r="H261" s="37"/>
      <c r="I261" s="7"/>
      <c r="J261" s="7"/>
      <c r="K261" s="7"/>
      <c r="L261" s="52"/>
      <c r="M261" s="52"/>
      <c r="N261" s="54"/>
      <c r="O261" s="7"/>
      <c r="P261" s="7"/>
      <c r="W261" s="25"/>
    </row>
    <row r="262" spans="1:24">
      <c r="A262" s="12"/>
      <c r="I262" s="7"/>
      <c r="J262" s="7"/>
      <c r="K262" s="7"/>
      <c r="L262" s="7"/>
      <c r="M262" s="52"/>
      <c r="N262" s="7"/>
      <c r="O262" s="13"/>
      <c r="P262" s="13"/>
      <c r="W262" s="25"/>
    </row>
    <row r="263" spans="1:24" ht="18">
      <c r="A263" s="206" t="str">
        <f>A227</f>
        <v>Ffluid1 (melt)</v>
      </c>
      <c r="B263" s="207" t="s">
        <v>152</v>
      </c>
      <c r="C263" s="207" t="s">
        <v>153</v>
      </c>
      <c r="D263" s="207" t="s">
        <v>154</v>
      </c>
      <c r="E263" s="207" t="s">
        <v>155</v>
      </c>
      <c r="F263" s="207" t="s">
        <v>156</v>
      </c>
      <c r="G263" s="207" t="s">
        <v>157</v>
      </c>
      <c r="H263" s="208" t="s">
        <v>158</v>
      </c>
      <c r="I263" s="206" t="s">
        <v>159</v>
      </c>
      <c r="J263" s="206" t="s">
        <v>160</v>
      </c>
      <c r="K263" s="206" t="s">
        <v>161</v>
      </c>
      <c r="L263" s="206" t="s">
        <v>162</v>
      </c>
      <c r="M263" s="206" t="s">
        <v>163</v>
      </c>
      <c r="N263" s="206" t="s">
        <v>164</v>
      </c>
      <c r="O263" s="209" t="s">
        <v>165</v>
      </c>
      <c r="P263" s="209" t="s">
        <v>166</v>
      </c>
      <c r="Q263" s="206" t="s">
        <v>159</v>
      </c>
      <c r="R263" s="206" t="s">
        <v>160</v>
      </c>
      <c r="S263" s="206" t="s">
        <v>161</v>
      </c>
      <c r="T263" s="206" t="s">
        <v>162</v>
      </c>
      <c r="U263" s="206" t="s">
        <v>163</v>
      </c>
      <c r="V263" s="206" t="s">
        <v>164</v>
      </c>
      <c r="W263" s="209" t="s">
        <v>167</v>
      </c>
      <c r="X263" s="209" t="s">
        <v>168</v>
      </c>
    </row>
    <row r="264" spans="1:24">
      <c r="A264" s="12">
        <f t="shared" ref="A264:A277" si="165">A107</f>
        <v>0</v>
      </c>
      <c r="B264" s="126">
        <f>(B228/D228)*(0.992745*207.2019/(238.0289*0.01387))</f>
        <v>63.345487519899059</v>
      </c>
      <c r="C264" s="127">
        <f>B264/137.88</f>
        <v>0.45942477168479157</v>
      </c>
      <c r="D264" s="127">
        <f>(C228/D228)*(1*207.2019/(0.01387*232.0381))</f>
        <v>134.96752882616323</v>
      </c>
      <c r="E264" s="127">
        <f>D264/B264</f>
        <v>2.1306573539869773</v>
      </c>
      <c r="F264" s="127">
        <f>(E228/F228)*(87.62*0.2784/(85.4678*0.0986))</f>
        <v>4.7925354137689459E-3</v>
      </c>
      <c r="G264" s="128">
        <f>(G228/H228)*(0.15*144.24/(150.36*0.238))</f>
        <v>0.37884760858087435</v>
      </c>
      <c r="H264" s="127">
        <f>(J228/I228)*(0.0259*178.49/(0.18606*174.967))</f>
        <v>8.0589076753725064E-2</v>
      </c>
      <c r="I264" s="203">
        <f t="shared" ref="I264:I277" si="166">L144</f>
        <v>17.589688322972172</v>
      </c>
      <c r="J264" s="128">
        <f t="shared" ref="J264:J277" si="167">M144</f>
        <v>15.408330676316353</v>
      </c>
      <c r="K264" s="128">
        <f t="shared" ref="K264:K277" si="168">N144</f>
        <v>37.028814251486352</v>
      </c>
      <c r="L264" s="128">
        <f t="shared" ref="L264:L277" si="169">O144</f>
        <v>0.70230594880039665</v>
      </c>
      <c r="M264" s="128">
        <f t="shared" ref="M264:M277" si="170">P144</f>
        <v>0.51292453404694993</v>
      </c>
      <c r="N264" s="128">
        <f t="shared" ref="N264:N277" si="171">Q144</f>
        <v>0.28307144219893121</v>
      </c>
      <c r="O264" s="128">
        <f t="shared" ref="O264:O277" si="172">R144</f>
        <v>10.779543408268033</v>
      </c>
      <c r="P264" s="189">
        <f t="shared" ref="P264:P277" si="173">S144</f>
        <v>14.603082534840883</v>
      </c>
      <c r="Q264" s="70">
        <f>I264+B264*(EXP($H$9*$E$163*1000000)-1)</f>
        <v>19.595594943808948</v>
      </c>
      <c r="R264" s="71">
        <f>J264+C264*(EXP($H$10*$E$163*1000000)-1)</f>
        <v>15.508903704280279</v>
      </c>
      <c r="S264" s="71">
        <f>K264+D264*(EXP($H$11*$E$163*1000000)-1)</f>
        <v>38.377828286610367</v>
      </c>
      <c r="T264" s="72">
        <f>L264+F264*(EXP($H$13*$E$163*1000000)-1)</f>
        <v>0.70231938636742253</v>
      </c>
      <c r="U264" s="72">
        <f>M264+G264*(EXP($H$14*$E$163*1000000)-1)</f>
        <v>0.51342279560453485</v>
      </c>
      <c r="V264" s="72">
        <f>N264+H264*(EXP($H$15*$E$163*1000000)-1)</f>
        <v>0.2833744345692068</v>
      </c>
      <c r="W264" s="71">
        <f>((U264/$V$5)-1)*10000</f>
        <v>15.465259632383432</v>
      </c>
      <c r="X264" s="73">
        <f>((V264/$X$5)-1)*10^4</f>
        <v>20.843912131365272</v>
      </c>
    </row>
    <row r="265" spans="1:24">
      <c r="A265" s="12">
        <f t="shared" si="165"/>
        <v>1E-3</v>
      </c>
      <c r="B265" s="130">
        <f t="shared" ref="B265:B267" si="174">(B229/D229)*(0.992745*207.2019/(238.0289*0.01387))</f>
        <v>52.561860167170366</v>
      </c>
      <c r="C265" s="38">
        <f t="shared" ref="C265:C267" si="175">B265/137.88</f>
        <v>0.3812145355901535</v>
      </c>
      <c r="D265" s="38">
        <f t="shared" ref="D265:D267" si="176">(C229/D229)*(1*207.2019/(0.01387*232.0381))</f>
        <v>59.879112336494899</v>
      </c>
      <c r="E265" s="38">
        <f t="shared" ref="E265:E267" si="177">D265/B265</f>
        <v>1.139212199607327</v>
      </c>
      <c r="F265" s="38">
        <f t="shared" ref="F265:F267" si="178">(E229/F229)*(87.62*0.2784/(85.4678*0.0986))</f>
        <v>1.975442106924593E-2</v>
      </c>
      <c r="G265" s="37">
        <f t="shared" ref="G265:G267" si="179">(G229/H229)*(0.15*144.24/(150.36*0.238))</f>
        <v>0.35297345668764712</v>
      </c>
      <c r="H265" s="38">
        <f t="shared" ref="H265:H267" si="180">(J229/I229)*(0.0259*178.49/(0.18606*174.967))</f>
        <v>8.042950981205696E-2</v>
      </c>
      <c r="I265" s="204">
        <f t="shared" si="166"/>
        <v>17.856178462850899</v>
      </c>
      <c r="J265" s="37">
        <f t="shared" si="167"/>
        <v>15.439327891123757</v>
      </c>
      <c r="K265" s="37">
        <f t="shared" si="168"/>
        <v>37.459987698944488</v>
      </c>
      <c r="L265" s="37">
        <f t="shared" si="169"/>
        <v>0.70268942023194303</v>
      </c>
      <c r="M265" s="37">
        <f t="shared" si="170"/>
        <v>0.51292553487481163</v>
      </c>
      <c r="N265" s="37">
        <f t="shared" si="171"/>
        <v>0.28307125294100755</v>
      </c>
      <c r="O265" s="37">
        <f t="shared" si="172"/>
        <v>10.799076626937243</v>
      </c>
      <c r="P265" s="190">
        <f t="shared" si="173"/>
        <v>14.596386900089797</v>
      </c>
      <c r="Q265" s="74">
        <f t="shared" ref="Q265:Q277" si="181">I265+B265*(EXP($H$9*$E$163*1000000)-1)</f>
        <v>19.520609307742621</v>
      </c>
      <c r="R265" s="57">
        <f t="shared" ref="R265:R277" si="182">J265+C265*(EXP($H$10*$E$163*1000000)-1)</f>
        <v>15.522779856518579</v>
      </c>
      <c r="S265" s="57">
        <f t="shared" ref="S265:S277" si="183">K265+D265*(EXP($H$11*$E$163*1000000)-1)</f>
        <v>38.058485453591388</v>
      </c>
      <c r="T265" s="75">
        <f t="shared" ref="T265:T277" si="184">L265+F265*(EXP($H$13*$E$163*1000000)-1)</f>
        <v>0.70274480873390621</v>
      </c>
      <c r="U265" s="75">
        <f t="shared" ref="U265:U277" si="185">M265+G265*(EXP($H$14*$E$163*1000000)-1)</f>
        <v>0.51338976666704628</v>
      </c>
      <c r="V265" s="75">
        <f t="shared" ref="V265:V277" si="186">N265+H265*(EXP($H$15*$E$163*1000000)-1)</f>
        <v>0.28337364538424809</v>
      </c>
      <c r="W265" s="57">
        <f t="shared" ref="W265:W277" si="187">((U265/$V$5)-1)*10000</f>
        <v>14.820955992553841</v>
      </c>
      <c r="X265" s="76">
        <f>((V265/$X$5)-1)*10^4</f>
        <v>20.816004535180177</v>
      </c>
    </row>
    <row r="266" spans="1:24">
      <c r="A266" s="12">
        <f t="shared" si="165"/>
        <v>2E-3</v>
      </c>
      <c r="B266" s="130">
        <f t="shared" si="174"/>
        <v>49.532648665142403</v>
      </c>
      <c r="C266" s="38">
        <f t="shared" si="175"/>
        <v>0.35924462333291562</v>
      </c>
      <c r="D266" s="38">
        <f t="shared" si="176"/>
        <v>38.786145428469538</v>
      </c>
      <c r="E266" s="38">
        <f t="shared" si="177"/>
        <v>0.78304202326584849</v>
      </c>
      <c r="F266" s="38">
        <f t="shared" si="178"/>
        <v>2.8211598302418699E-2</v>
      </c>
      <c r="G266" s="37">
        <f t="shared" si="179"/>
        <v>0.33307708380122714</v>
      </c>
      <c r="H266" s="38">
        <f t="shared" si="180"/>
        <v>8.0273669811413303E-2</v>
      </c>
      <c r="I266" s="204">
        <f t="shared" si="166"/>
        <v>17.931037781565532</v>
      </c>
      <c r="J266" s="37">
        <f t="shared" si="167"/>
        <v>15.448035269128772</v>
      </c>
      <c r="K266" s="37">
        <f t="shared" si="168"/>
        <v>37.581107942039573</v>
      </c>
      <c r="L266" s="37">
        <f t="shared" si="169"/>
        <v>0.70290617672474898</v>
      </c>
      <c r="M266" s="37">
        <f t="shared" si="170"/>
        <v>0.51292630447856202</v>
      </c>
      <c r="N266" s="37">
        <f t="shared" si="171"/>
        <v>0.28307106810350541</v>
      </c>
      <c r="O266" s="37">
        <f t="shared" si="172"/>
        <v>10.814097030464875</v>
      </c>
      <c r="P266" s="190">
        <f t="shared" si="173"/>
        <v>14.58984765259741</v>
      </c>
      <c r="Q266" s="74">
        <f t="shared" si="181"/>
        <v>19.499545212718843</v>
      </c>
      <c r="R266" s="57">
        <f t="shared" si="182"/>
        <v>15.526677784237078</v>
      </c>
      <c r="S266" s="57">
        <f t="shared" si="183"/>
        <v>37.968779369429775</v>
      </c>
      <c r="T266" s="75">
        <f t="shared" si="184"/>
        <v>0.70298527791240117</v>
      </c>
      <c r="U266" s="75">
        <f t="shared" si="185"/>
        <v>0.51336436849905909</v>
      </c>
      <c r="V266" s="75">
        <f t="shared" si="186"/>
        <v>0.28337287463196592</v>
      </c>
      <c r="W266" s="57">
        <f t="shared" si="187"/>
        <v>14.325507657746428</v>
      </c>
      <c r="X266" s="76">
        <f t="shared" ref="X266:X277" si="188">((V266/$X$5)-1)*10^4</f>
        <v>20.788748765525611</v>
      </c>
    </row>
    <row r="267" spans="1:24">
      <c r="A267" s="12">
        <f t="shared" si="165"/>
        <v>5.0000000000000001E-3</v>
      </c>
      <c r="B267" s="130">
        <f t="shared" si="174"/>
        <v>46.732634730828146</v>
      </c>
      <c r="C267" s="38">
        <f t="shared" si="175"/>
        <v>0.33893700849164599</v>
      </c>
      <c r="D267" s="38">
        <f t="shared" si="176"/>
        <v>19.289124101646408</v>
      </c>
      <c r="E267" s="38">
        <f t="shared" si="177"/>
        <v>0.41275490270874754</v>
      </c>
      <c r="F267" s="38">
        <f t="shared" si="178"/>
        <v>4.0230262881251019E-2</v>
      </c>
      <c r="G267" s="37">
        <f t="shared" si="179"/>
        <v>0.29387016712943514</v>
      </c>
      <c r="H267" s="38">
        <f t="shared" si="180"/>
        <v>7.9827249923296609E-2</v>
      </c>
      <c r="I267" s="204">
        <f t="shared" si="166"/>
        <v>18.000233060724447</v>
      </c>
      <c r="J267" s="37">
        <f t="shared" si="167"/>
        <v>15.456083825569637</v>
      </c>
      <c r="K267" s="37">
        <f t="shared" si="168"/>
        <v>37.693063930641465</v>
      </c>
      <c r="L267" s="37">
        <f t="shared" si="169"/>
        <v>0.70321421373408377</v>
      </c>
      <c r="M267" s="37">
        <f t="shared" si="170"/>
        <v>0.51292782102583834</v>
      </c>
      <c r="N267" s="37">
        <f t="shared" si="171"/>
        <v>0.28307053861725845</v>
      </c>
      <c r="O267" s="37">
        <f t="shared" si="172"/>
        <v>10.843695576532308</v>
      </c>
      <c r="P267" s="190">
        <f t="shared" si="173"/>
        <v>14.571115298107618</v>
      </c>
      <c r="Q267" s="74">
        <f t="shared" si="181"/>
        <v>19.480074878758721</v>
      </c>
      <c r="R267" s="57">
        <f t="shared" si="182"/>
        <v>15.530280785189452</v>
      </c>
      <c r="S267" s="57">
        <f t="shared" si="183"/>
        <v>37.885860667491293</v>
      </c>
      <c r="T267" s="75">
        <f t="shared" si="184"/>
        <v>0.70332701349605953</v>
      </c>
      <c r="U267" s="75">
        <f t="shared" si="185"/>
        <v>0.51331431998712285</v>
      </c>
      <c r="V267" s="75">
        <f t="shared" si="186"/>
        <v>0.28337066673190053</v>
      </c>
      <c r="W267" s="57">
        <f t="shared" si="187"/>
        <v>13.349198976315702</v>
      </c>
      <c r="X267" s="76">
        <f t="shared" si="188"/>
        <v>20.710671778931822</v>
      </c>
    </row>
    <row r="268" spans="1:24">
      <c r="A268" s="12">
        <f t="shared" si="165"/>
        <v>0.01</v>
      </c>
      <c r="B268" s="130">
        <f t="shared" ref="B268" si="189">(B232/D232)*(0.992745*207.2019/(238.0289*0.01387))</f>
        <v>45.528752175036772</v>
      </c>
      <c r="C268" s="38">
        <f t="shared" ref="C268" si="190">B268/137.88</f>
        <v>0.33020562935187681</v>
      </c>
      <c r="D268" s="38">
        <f t="shared" ref="D268" si="191">(C232/D232)*(1*207.2019/(0.01387*232.0381))</f>
        <v>10.90626443884015</v>
      </c>
      <c r="E268" s="38">
        <f>D268/B268</f>
        <v>0.23954674612892224</v>
      </c>
      <c r="F268" s="38">
        <f>(E232/F232)*(87.62*0.2784/(85.4678*0.0986))</f>
        <v>4.7543534749724642E-2</v>
      </c>
      <c r="G268" s="37">
        <f t="shared" ref="G268" si="192">(G232/H232)*(0.15*144.24/(150.36*0.238))</f>
        <v>0.25990946082665684</v>
      </c>
      <c r="H268" s="38">
        <f>(J232/I232)*(0.0259*178.49/(0.18606*174.967))</f>
        <v>7.9146789720064267E-2</v>
      </c>
      <c r="I268" s="204">
        <f t="shared" si="166"/>
        <v>18.029983980354402</v>
      </c>
      <c r="J268" s="37">
        <f t="shared" si="167"/>
        <v>15.459544350026215</v>
      </c>
      <c r="K268" s="37">
        <f t="shared" si="168"/>
        <v>37.741200070266501</v>
      </c>
      <c r="L268" s="37">
        <f t="shared" si="169"/>
        <v>0.70340165206219751</v>
      </c>
      <c r="M268" s="37">
        <f t="shared" si="170"/>
        <v>0.5129291346465209</v>
      </c>
      <c r="N268" s="37">
        <f t="shared" si="171"/>
        <v>0.28306973154228537</v>
      </c>
      <c r="O268" s="37">
        <f t="shared" si="172"/>
        <v>10.869333591843056</v>
      </c>
      <c r="P268" s="190">
        <f t="shared" si="173"/>
        <v>14.542562310033702</v>
      </c>
      <c r="Q268" s="74">
        <f t="shared" si="181"/>
        <v>19.471703493487109</v>
      </c>
      <c r="R268" s="57">
        <f t="shared" si="182"/>
        <v>15.531829916764085</v>
      </c>
      <c r="S268" s="57">
        <f t="shared" si="183"/>
        <v>37.850209281050226</v>
      </c>
      <c r="T268" s="75">
        <f t="shared" si="184"/>
        <v>0.70353495716684178</v>
      </c>
      <c r="U268" s="75">
        <f t="shared" si="185"/>
        <v>0.51327096838084918</v>
      </c>
      <c r="V268" s="75">
        <f t="shared" si="186"/>
        <v>0.28336730131703625</v>
      </c>
      <c r="W268" s="57">
        <f t="shared" si="187"/>
        <v>12.503528487390891</v>
      </c>
      <c r="X268" s="76">
        <f t="shared" si="188"/>
        <v>20.591662112072751</v>
      </c>
    </row>
    <row r="269" spans="1:24">
      <c r="A269" s="12">
        <f t="shared" si="165"/>
        <v>0.02</v>
      </c>
      <c r="B269" s="130">
        <f t="shared" ref="B269:B277" si="193">(B233/D233)*(0.992745*207.2019/(238.0289*0.01387))</f>
        <v>44.858919702729978</v>
      </c>
      <c r="C269" s="38">
        <f t="shared" ref="C269:C277" si="194">B269/137.88</f>
        <v>0.32534754643697406</v>
      </c>
      <c r="D269" s="38">
        <f t="shared" ref="D269:D277" si="195">(C233/D233)*(1*207.2019/(0.01387*232.0381))</f>
        <v>6.2420955081363179</v>
      </c>
      <c r="E269" s="38">
        <f t="shared" ref="E269:E277" si="196">D269/B269</f>
        <v>0.1391494835252674</v>
      </c>
      <c r="F269" s="38">
        <f t="shared" ref="F269:F277" si="197">(E233/F233)*(87.62*0.2784/(85.4678*0.0986))</f>
        <v>5.2462334981392016E-2</v>
      </c>
      <c r="G269" s="37">
        <f t="shared" ref="G269:G277" si="198">(G233/H233)*(0.15*144.24/(150.36*0.238))</f>
        <v>0.23020801621292883</v>
      </c>
      <c r="H269" s="38">
        <f t="shared" ref="H269:H277" si="199">(J233/I233)*(0.0259*178.49/(0.18606*174.967))</f>
        <v>7.7982858810532643E-2</v>
      </c>
      <c r="I269" s="204">
        <f t="shared" si="166"/>
        <v>18.046537199730555</v>
      </c>
      <c r="J269" s="37">
        <f t="shared" si="167"/>
        <v>15.461469763465491</v>
      </c>
      <c r="K269" s="37">
        <f t="shared" si="168"/>
        <v>37.767982707208319</v>
      </c>
      <c r="L269" s="37">
        <f t="shared" si="169"/>
        <v>0.70352772035397315</v>
      </c>
      <c r="M269" s="37">
        <f t="shared" si="170"/>
        <v>0.51293028351638248</v>
      </c>
      <c r="N269" s="37">
        <f t="shared" si="171"/>
        <v>0.2830683510361176</v>
      </c>
      <c r="O269" s="37">
        <f t="shared" si="172"/>
        <v>10.891756155291255</v>
      </c>
      <c r="P269" s="190">
        <f t="shared" si="173"/>
        <v>14.493722267336917</v>
      </c>
      <c r="Q269" s="74">
        <f t="shared" si="181"/>
        <v>19.467045708833503</v>
      </c>
      <c r="R269" s="57">
        <f t="shared" si="182"/>
        <v>15.532691843558835</v>
      </c>
      <c r="S269" s="57">
        <f t="shared" si="183"/>
        <v>37.8303730800802</v>
      </c>
      <c r="T269" s="75">
        <f t="shared" si="184"/>
        <v>0.7036748170536905</v>
      </c>
      <c r="U269" s="75">
        <f t="shared" si="185"/>
        <v>0.51323305381802553</v>
      </c>
      <c r="V269" s="75">
        <f t="shared" si="186"/>
        <v>0.28336154475645364</v>
      </c>
      <c r="W269" s="57">
        <f t="shared" si="187"/>
        <v>11.76391974768265</v>
      </c>
      <c r="X269" s="76">
        <f t="shared" si="188"/>
        <v>20.388095424213049</v>
      </c>
    </row>
    <row r="270" spans="1:24">
      <c r="A270" s="12">
        <f t="shared" si="165"/>
        <v>0.03</v>
      </c>
      <c r="B270" s="130">
        <f t="shared" si="193"/>
        <v>44.624307808389496</v>
      </c>
      <c r="C270" s="38">
        <f>B270/137.88</f>
        <v>0.32364598062365463</v>
      </c>
      <c r="D270" s="38">
        <f>(C234/D234)*(1*207.2019/(0.01387*232.0381))</f>
        <v>4.6084489568013485</v>
      </c>
      <c r="E270" s="38">
        <f t="shared" si="196"/>
        <v>0.10327216674350179</v>
      </c>
      <c r="F270" s="38">
        <f t="shared" si="197"/>
        <v>5.4363496422295057E-2</v>
      </c>
      <c r="G270" s="37">
        <f t="shared" si="198"/>
        <v>0.21671173010275227</v>
      </c>
      <c r="H270" s="38">
        <f t="shared" si="199"/>
        <v>7.7023793185481235E-2</v>
      </c>
      <c r="I270" s="204">
        <f t="shared" si="166"/>
        <v>18.052335040706968</v>
      </c>
      <c r="J270" s="37">
        <f t="shared" si="167"/>
        <v>15.462144148349852</v>
      </c>
      <c r="K270" s="37">
        <f t="shared" si="168"/>
        <v>37.777363448584914</v>
      </c>
      <c r="L270" s="37">
        <f t="shared" si="169"/>
        <v>0.70357644690596866</v>
      </c>
      <c r="M270" s="37">
        <f t="shared" si="170"/>
        <v>0.5129308055609012</v>
      </c>
      <c r="N270" s="37">
        <f t="shared" si="171"/>
        <v>0.28306721351498138</v>
      </c>
      <c r="O270" s="37">
        <f t="shared" si="172"/>
        <v>10.901944930132856</v>
      </c>
      <c r="P270" s="190">
        <f t="shared" si="173"/>
        <v>14.4534786362982</v>
      </c>
      <c r="Q270" s="74">
        <f t="shared" si="181"/>
        <v>19.46541429840449</v>
      </c>
      <c r="R270" s="57">
        <f t="shared" si="182"/>
        <v>15.532993737370287</v>
      </c>
      <c r="S270" s="57">
        <f t="shared" si="183"/>
        <v>37.823425359749379</v>
      </c>
      <c r="T270" s="75">
        <f t="shared" si="184"/>
        <v>0.7037288741837795</v>
      </c>
      <c r="U270" s="75">
        <f t="shared" si="185"/>
        <v>0.51321582550491618</v>
      </c>
      <c r="V270" s="75">
        <f t="shared" si="186"/>
        <v>0.28335680141702674</v>
      </c>
      <c r="W270" s="57">
        <f t="shared" si="187"/>
        <v>11.427842789462073</v>
      </c>
      <c r="X270" s="76">
        <f t="shared" si="188"/>
        <v>20.220358824787343</v>
      </c>
    </row>
    <row r="271" spans="1:24">
      <c r="A271" s="12">
        <f t="shared" si="165"/>
        <v>0.04</v>
      </c>
      <c r="B271" s="130">
        <f t="shared" si="193"/>
        <v>44.504754516931833</v>
      </c>
      <c r="C271" s="38">
        <f t="shared" si="194"/>
        <v>0.32277889844017865</v>
      </c>
      <c r="D271" s="38">
        <f t="shared" si="195"/>
        <v>3.7759770020468504</v>
      </c>
      <c r="E271" s="38">
        <f t="shared" si="196"/>
        <v>8.484435074482391E-2</v>
      </c>
      <c r="F271" s="38">
        <f t="shared" si="197"/>
        <v>5.5372100611142311E-2</v>
      </c>
      <c r="G271" s="37">
        <f t="shared" si="198"/>
        <v>0.20900079256824067</v>
      </c>
      <c r="H271" s="38">
        <f t="shared" si="199"/>
        <v>7.6219879887608311E-2</v>
      </c>
      <c r="I271" s="204">
        <f t="shared" si="166"/>
        <v>18.055289498638544</v>
      </c>
      <c r="J271" s="37">
        <f t="shared" si="167"/>
        <v>15.462487800716072</v>
      </c>
      <c r="K271" s="37">
        <f t="shared" si="168"/>
        <v>37.782143677272948</v>
      </c>
      <c r="L271" s="37">
        <f t="shared" si="169"/>
        <v>0.70360229731687729</v>
      </c>
      <c r="M271" s="37">
        <f t="shared" si="170"/>
        <v>0.51293110382463403</v>
      </c>
      <c r="N271" s="37">
        <f t="shared" si="171"/>
        <v>0.28306626001571689</v>
      </c>
      <c r="O271" s="37">
        <f t="shared" si="172"/>
        <v>10.907766161671884</v>
      </c>
      <c r="P271" s="190">
        <f t="shared" si="173"/>
        <v>14.419745397089567</v>
      </c>
      <c r="Q271" s="74">
        <f t="shared" si="181"/>
        <v>19.464582965930674</v>
      </c>
      <c r="R271" s="57">
        <f t="shared" si="182"/>
        <v>15.533147576112906</v>
      </c>
      <c r="S271" s="57">
        <f t="shared" si="183"/>
        <v>37.819884947461183</v>
      </c>
      <c r="T271" s="75">
        <f t="shared" si="184"/>
        <v>0.70375755257303774</v>
      </c>
      <c r="U271" s="75">
        <f t="shared" si="185"/>
        <v>0.51320598231952974</v>
      </c>
      <c r="V271" s="75">
        <f t="shared" si="186"/>
        <v>0.28335282542879192</v>
      </c>
      <c r="W271" s="57">
        <f t="shared" si="187"/>
        <v>11.235829341429415</v>
      </c>
      <c r="X271" s="76">
        <f t="shared" si="188"/>
        <v>20.079757723781011</v>
      </c>
    </row>
    <row r="272" spans="1:24">
      <c r="A272" s="12">
        <f t="shared" si="165"/>
        <v>0.05</v>
      </c>
      <c r="B272" s="130">
        <f>(B236/D236)*(0.992745*207.2019/(238.0289*0.01387))</f>
        <v>44.432286795341803</v>
      </c>
      <c r="C272" s="38">
        <f t="shared" si="194"/>
        <v>0.32225331299203513</v>
      </c>
      <c r="D272" s="38">
        <f t="shared" si="195"/>
        <v>3.2713706870455788</v>
      </c>
      <c r="E272" s="38">
        <f t="shared" si="196"/>
        <v>7.3625980632366264E-2</v>
      </c>
      <c r="F272" s="38">
        <f t="shared" si="197"/>
        <v>5.5997207476292568E-2</v>
      </c>
      <c r="G272" s="37">
        <f t="shared" si="198"/>
        <v>0.20401183741692794</v>
      </c>
      <c r="H272" s="38">
        <f t="shared" si="199"/>
        <v>7.5536286858878934E-2</v>
      </c>
      <c r="I272" s="204">
        <f t="shared" si="166"/>
        <v>18.057080355521073</v>
      </c>
      <c r="J272" s="37">
        <f t="shared" si="167"/>
        <v>15.46269610701777</v>
      </c>
      <c r="K272" s="37">
        <f t="shared" si="168"/>
        <v>37.785041232643266</v>
      </c>
      <c r="L272" s="37">
        <f t="shared" si="169"/>
        <v>0.70361831873489689</v>
      </c>
      <c r="M272" s="37">
        <f t="shared" si="170"/>
        <v>0.51293129680044003</v>
      </c>
      <c r="N272" s="37">
        <f t="shared" si="171"/>
        <v>0.28306544922498633</v>
      </c>
      <c r="O272" s="37">
        <f t="shared" si="172"/>
        <v>10.911532482296149</v>
      </c>
      <c r="P272" s="190">
        <f t="shared" si="173"/>
        <v>14.391060951612911</v>
      </c>
      <c r="Q272" s="74">
        <f t="shared" si="181"/>
        <v>19.464079050316759</v>
      </c>
      <c r="R272" s="57">
        <f t="shared" si="182"/>
        <v>15.533240826102382</v>
      </c>
      <c r="S272" s="57">
        <f t="shared" si="183"/>
        <v>37.817738911924344</v>
      </c>
      <c r="T272" s="75">
        <f t="shared" si="184"/>
        <v>0.70377532669910725</v>
      </c>
      <c r="U272" s="75">
        <f t="shared" si="185"/>
        <v>0.51319961380594492</v>
      </c>
      <c r="V272" s="75">
        <f t="shared" si="186"/>
        <v>0.28334944451962324</v>
      </c>
      <c r="W272" s="57">
        <f t="shared" si="187"/>
        <v>11.1115971742759</v>
      </c>
      <c r="X272" s="76">
        <f t="shared" si="188"/>
        <v>19.960200138735562</v>
      </c>
    </row>
    <row r="273" spans="1:24">
      <c r="A273" s="12">
        <f t="shared" si="165"/>
        <v>6.0000000000000005E-2</v>
      </c>
      <c r="B273" s="130">
        <f t="shared" si="193"/>
        <v>44.383664479259259</v>
      </c>
      <c r="C273" s="38">
        <f t="shared" si="194"/>
        <v>0.3219006707227971</v>
      </c>
      <c r="D273" s="38">
        <f t="shared" si="195"/>
        <v>2.9328043956407948</v>
      </c>
      <c r="E273" s="38">
        <f t="shared" si="196"/>
        <v>6.6078464454220789E-2</v>
      </c>
      <c r="F273" s="38">
        <f t="shared" si="197"/>
        <v>5.642260072417505E-2</v>
      </c>
      <c r="G273" s="37">
        <f t="shared" si="198"/>
        <v>0.20051979085500476</v>
      </c>
      <c r="H273" s="38">
        <f t="shared" si="199"/>
        <v>7.4947882611696368E-2</v>
      </c>
      <c r="I273" s="204">
        <f t="shared" si="166"/>
        <v>18.058281933375191</v>
      </c>
      <c r="J273" s="37">
        <f t="shared" si="167"/>
        <v>15.462835870413404</v>
      </c>
      <c r="K273" s="37">
        <f t="shared" si="168"/>
        <v>37.78698535134869</v>
      </c>
      <c r="L273" s="37">
        <f t="shared" si="169"/>
        <v>0.70362922151556861</v>
      </c>
      <c r="M273" s="37">
        <f t="shared" si="170"/>
        <v>0.51293143187491541</v>
      </c>
      <c r="N273" s="37">
        <f t="shared" si="171"/>
        <v>0.2830647513350294</v>
      </c>
      <c r="O273" s="37">
        <f t="shared" si="172"/>
        <v>10.914168739104557</v>
      </c>
      <c r="P273" s="190">
        <f t="shared" si="173"/>
        <v>14.366370750229507</v>
      </c>
      <c r="Q273" s="74">
        <f t="shared" si="181"/>
        <v>19.463740947452187</v>
      </c>
      <c r="R273" s="57">
        <f t="shared" si="182"/>
        <v>15.533303392309289</v>
      </c>
      <c r="S273" s="57">
        <f t="shared" si="183"/>
        <v>37.816299026470418</v>
      </c>
      <c r="T273" s="75">
        <f t="shared" si="184"/>
        <v>0.70378742222011093</v>
      </c>
      <c r="U273" s="75">
        <f t="shared" si="185"/>
        <v>0.51319515612987976</v>
      </c>
      <c r="V273" s="75">
        <f t="shared" si="186"/>
        <v>0.28334653439440172</v>
      </c>
      <c r="W273" s="57">
        <f t="shared" si="187"/>
        <v>11.024640186483303</v>
      </c>
      <c r="X273" s="76">
        <f t="shared" si="188"/>
        <v>19.857290676723593</v>
      </c>
    </row>
    <row r="274" spans="1:24">
      <c r="A274" s="12">
        <f t="shared" si="165"/>
        <v>7.0000000000000007E-2</v>
      </c>
      <c r="B274" s="130">
        <f t="shared" si="193"/>
        <v>44.348780912006397</v>
      </c>
      <c r="C274" s="38">
        <f t="shared" si="194"/>
        <v>0.32164767125040905</v>
      </c>
      <c r="D274" s="38">
        <f t="shared" si="195"/>
        <v>2.6899035849165678</v>
      </c>
      <c r="E274" s="38">
        <f t="shared" si="196"/>
        <v>6.0653382789792522E-2</v>
      </c>
      <c r="F274" s="38">
        <f t="shared" si="197"/>
        <v>5.6730806273737354E-2</v>
      </c>
      <c r="G274" s="37">
        <f t="shared" si="198"/>
        <v>0.19793883047967531</v>
      </c>
      <c r="H274" s="38">
        <f t="shared" si="199"/>
        <v>7.4436079085276163E-2</v>
      </c>
      <c r="I274" s="204">
        <f t="shared" si="166"/>
        <v>18.059143992718727</v>
      </c>
      <c r="J274" s="37">
        <f t="shared" si="167"/>
        <v>15.462936142185786</v>
      </c>
      <c r="K274" s="37">
        <f t="shared" si="168"/>
        <v>37.78838013878525</v>
      </c>
      <c r="L274" s="37">
        <f t="shared" si="169"/>
        <v>0.70363712078883012</v>
      </c>
      <c r="M274" s="37">
        <f t="shared" si="170"/>
        <v>0.51293153170802541</v>
      </c>
      <c r="N274" s="37">
        <f t="shared" si="171"/>
        <v>0.28306414429906268</v>
      </c>
      <c r="O274" s="37">
        <f t="shared" si="172"/>
        <v>10.916117188026764</v>
      </c>
      <c r="P274" s="190">
        <f t="shared" si="173"/>
        <v>14.344894813920206</v>
      </c>
      <c r="Q274" s="74">
        <f t="shared" si="181"/>
        <v>19.463498379122143</v>
      </c>
      <c r="R274" s="57">
        <f t="shared" si="182"/>
        <v>15.533348279773772</v>
      </c>
      <c r="S274" s="57">
        <f t="shared" si="183"/>
        <v>37.815265995855782</v>
      </c>
      <c r="T274" s="75">
        <f t="shared" si="184"/>
        <v>0.70379618565657054</v>
      </c>
      <c r="U274" s="75">
        <f t="shared" si="185"/>
        <v>0.51319186147584628</v>
      </c>
      <c r="V274" s="75">
        <f t="shared" si="186"/>
        <v>0.28334400312043856</v>
      </c>
      <c r="W274" s="57">
        <f t="shared" si="187"/>
        <v>10.960370556662991</v>
      </c>
      <c r="X274" s="76">
        <f t="shared" si="188"/>
        <v>19.767778363015687</v>
      </c>
    </row>
    <row r="275" spans="1:24">
      <c r="A275" s="12">
        <f t="shared" si="165"/>
        <v>0.08</v>
      </c>
      <c r="B275" s="130">
        <f t="shared" si="193"/>
        <v>44.322533891315231</v>
      </c>
      <c r="C275" s="38">
        <f t="shared" si="194"/>
        <v>0.32145730991670463</v>
      </c>
      <c r="D275" s="38">
        <f t="shared" si="195"/>
        <v>2.507140665094088</v>
      </c>
      <c r="E275" s="38">
        <f t="shared" si="196"/>
        <v>5.6565824310539907E-2</v>
      </c>
      <c r="F275" s="38">
        <f t="shared" si="197"/>
        <v>5.6964386075665063E-2</v>
      </c>
      <c r="G275" s="37">
        <f t="shared" si="198"/>
        <v>0.19595354431354306</v>
      </c>
      <c r="H275" s="38">
        <f t="shared" si="199"/>
        <v>7.3986832174108716E-2</v>
      </c>
      <c r="I275" s="204">
        <f t="shared" si="166"/>
        <v>18.059792621606444</v>
      </c>
      <c r="J275" s="37">
        <f t="shared" si="167"/>
        <v>15.463011588462981</v>
      </c>
      <c r="K275" s="37">
        <f t="shared" si="168"/>
        <v>37.789429601830165</v>
      </c>
      <c r="L275" s="37">
        <f t="shared" si="169"/>
        <v>0.70364310741264802</v>
      </c>
      <c r="M275" s="37">
        <f t="shared" si="170"/>
        <v>0.51293160850009634</v>
      </c>
      <c r="N275" s="37">
        <f t="shared" si="171"/>
        <v>0.28306361145976205</v>
      </c>
      <c r="O275" s="37">
        <f t="shared" si="172"/>
        <v>10.917615943577541</v>
      </c>
      <c r="P275" s="190">
        <f t="shared" si="173"/>
        <v>14.326043833894353</v>
      </c>
      <c r="Q275" s="74">
        <f t="shared" si="181"/>
        <v>19.463315866366738</v>
      </c>
      <c r="R275" s="57">
        <f t="shared" si="182"/>
        <v>15.533382053905891</v>
      </c>
      <c r="S275" s="57">
        <f t="shared" si="183"/>
        <v>37.814488725121947</v>
      </c>
      <c r="T275" s="75">
        <f t="shared" si="184"/>
        <v>0.7038028272039254</v>
      </c>
      <c r="U275" s="75">
        <f t="shared" si="185"/>
        <v>0.51318932721335331</v>
      </c>
      <c r="V275" s="75">
        <f t="shared" si="186"/>
        <v>0.28334178123850418</v>
      </c>
      <c r="W275" s="57">
        <f t="shared" si="187"/>
        <v>10.910934072396739</v>
      </c>
      <c r="X275" s="76">
        <f t="shared" si="188"/>
        <v>19.689206941817528</v>
      </c>
    </row>
    <row r="276" spans="1:24">
      <c r="A276" s="12">
        <f t="shared" si="165"/>
        <v>0.09</v>
      </c>
      <c r="B276" s="130">
        <f t="shared" si="193"/>
        <v>44.302069344437378</v>
      </c>
      <c r="C276" s="38">
        <f t="shared" si="194"/>
        <v>0.32130888703537408</v>
      </c>
      <c r="D276" s="38">
        <f t="shared" si="195"/>
        <v>2.3646421931986774</v>
      </c>
      <c r="E276" s="38">
        <f t="shared" si="196"/>
        <v>5.3375434335000985E-2</v>
      </c>
      <c r="F276" s="38">
        <f t="shared" si="197"/>
        <v>5.7147516853252291E-2</v>
      </c>
      <c r="G276" s="37">
        <f t="shared" si="198"/>
        <v>0.19437904903328829</v>
      </c>
      <c r="H276" s="38">
        <f t="shared" si="199"/>
        <v>7.3589333202963444E-2</v>
      </c>
      <c r="I276" s="204">
        <f t="shared" si="166"/>
        <v>18.060298351244697</v>
      </c>
      <c r="J276" s="37">
        <f t="shared" si="167"/>
        <v>15.463070413191875</v>
      </c>
      <c r="K276" s="37">
        <f t="shared" si="168"/>
        <v>37.790247857964161</v>
      </c>
      <c r="L276" s="37">
        <f t="shared" si="169"/>
        <v>0.70364780103369684</v>
      </c>
      <c r="M276" s="37">
        <f t="shared" si="170"/>
        <v>0.5129316694025271</v>
      </c>
      <c r="N276" s="37">
        <f t="shared" si="171"/>
        <v>0.2830631399972578</v>
      </c>
      <c r="O276" s="37">
        <f t="shared" si="172"/>
        <v>10.918804580049013</v>
      </c>
      <c r="P276" s="190">
        <f t="shared" si="173"/>
        <v>14.309364264202262</v>
      </c>
      <c r="Q276" s="74">
        <f t="shared" si="181"/>
        <v>19.463173562945624</v>
      </c>
      <c r="R276" s="57">
        <f t="shared" si="182"/>
        <v>15.533408387268375</v>
      </c>
      <c r="S276" s="57">
        <f t="shared" si="183"/>
        <v>37.813882694686853</v>
      </c>
      <c r="T276" s="75">
        <f t="shared" si="184"/>
        <v>0.70380803429683947</v>
      </c>
      <c r="U276" s="75">
        <f t="shared" si="185"/>
        <v>0.51318731733467582</v>
      </c>
      <c r="V276" s="75">
        <f t="shared" si="186"/>
        <v>0.28333981529113544</v>
      </c>
      <c r="W276" s="57">
        <f t="shared" si="187"/>
        <v>10.871726872712095</v>
      </c>
      <c r="X276" s="76">
        <f t="shared" si="188"/>
        <v>19.619686020666549</v>
      </c>
    </row>
    <row r="277" spans="1:24">
      <c r="A277" s="12">
        <f t="shared" si="165"/>
        <v>9.9999999999999992E-2</v>
      </c>
      <c r="B277" s="132">
        <f t="shared" si="193"/>
        <v>44.285665977470813</v>
      </c>
      <c r="C277" s="133">
        <f t="shared" si="194"/>
        <v>0.32118991860654783</v>
      </c>
      <c r="D277" s="133">
        <f t="shared" si="195"/>
        <v>2.2504224774836721</v>
      </c>
      <c r="E277" s="133">
        <f t="shared" si="196"/>
        <v>5.0816046858785331E-2</v>
      </c>
      <c r="F277" s="133">
        <f t="shared" si="197"/>
        <v>5.7294949736512439E-2</v>
      </c>
      <c r="G277" s="134">
        <f t="shared" si="198"/>
        <v>0.19309979899009003</v>
      </c>
      <c r="H277" s="133">
        <f t="shared" si="199"/>
        <v>7.3235127957125973E-2</v>
      </c>
      <c r="I277" s="205">
        <f t="shared" si="166"/>
        <v>18.060703719068929</v>
      </c>
      <c r="J277" s="134">
        <f t="shared" si="167"/>
        <v>15.463117564180385</v>
      </c>
      <c r="K277" s="134">
        <f t="shared" si="168"/>
        <v>37.790903731544866</v>
      </c>
      <c r="L277" s="134">
        <f t="shared" si="169"/>
        <v>0.70365157972176473</v>
      </c>
      <c r="M277" s="134">
        <f t="shared" si="170"/>
        <v>0.51293171888469358</v>
      </c>
      <c r="N277" s="134">
        <f t="shared" si="171"/>
        <v>0.28306271988424037</v>
      </c>
      <c r="O277" s="134">
        <f t="shared" si="172"/>
        <v>10.919770326522915</v>
      </c>
      <c r="P277" s="191">
        <f t="shared" si="173"/>
        <v>14.294501355083256</v>
      </c>
      <c r="Q277" s="77">
        <f t="shared" si="181"/>
        <v>19.463059499572932</v>
      </c>
      <c r="R277" s="78">
        <f t="shared" si="182"/>
        <v>15.533429494787187</v>
      </c>
      <c r="S277" s="78">
        <f t="shared" si="183"/>
        <v>37.813396930712749</v>
      </c>
      <c r="T277" s="79">
        <f t="shared" si="184"/>
        <v>0.70381222636510798</v>
      </c>
      <c r="U277" s="79">
        <f t="shared" si="185"/>
        <v>0.51318568434319167</v>
      </c>
      <c r="V277" s="79">
        <f t="shared" si="186"/>
        <v>0.28333806346554202</v>
      </c>
      <c r="W277" s="78">
        <f t="shared" si="187"/>
        <v>10.839871704575454</v>
      </c>
      <c r="X277" s="80">
        <f t="shared" si="188"/>
        <v>19.557736992485975</v>
      </c>
    </row>
    <row r="278" spans="1:24">
      <c r="B278" s="38"/>
      <c r="C278" s="38"/>
      <c r="D278" s="38"/>
      <c r="E278" s="38"/>
      <c r="F278" s="38"/>
      <c r="G278" s="37"/>
      <c r="H278" s="37"/>
      <c r="I278" s="7"/>
      <c r="J278" s="3"/>
      <c r="K278" s="3"/>
      <c r="L278" s="52"/>
      <c r="M278" s="52"/>
      <c r="N278" s="52"/>
      <c r="O278" s="7"/>
      <c r="P278" s="7"/>
    </row>
  </sheetData>
  <pageMargins left="0.75" right="0.75" top="1" bottom="1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ReadMe - Data entry</vt:lpstr>
      <vt:lpstr>Modified mantle wedge</vt:lpstr>
      <vt:lpstr>AOC_fraction</vt:lpstr>
      <vt:lpstr>F_fluid</vt:lpstr>
      <vt:lpstr>F_fluid_AOC</vt:lpstr>
      <vt:lpstr>F_fluid_sed</vt:lpstr>
      <vt:lpstr>F_fluid_seds</vt:lpstr>
      <vt:lpstr>Melt_fraction</vt:lpstr>
      <vt:lpstr>Melting_age</vt:lpstr>
      <vt:lpstr>Recycling_age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Meyzen</dc:creator>
  <cp:lastModifiedBy>Lynne Elkins</cp:lastModifiedBy>
  <dcterms:created xsi:type="dcterms:W3CDTF">2006-06-13T07:59:48Z</dcterms:created>
  <dcterms:modified xsi:type="dcterms:W3CDTF">2020-05-22T21:17:41Z</dcterms:modified>
</cp:coreProperties>
</file>