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1.xml" ContentType="application/vnd.openxmlformats-officedocument.spreadsheetml.comments+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ía\Documents\CURRO\LEMAR-ARISE\Si-Seagrasses\SiSea-M2\Justine ROTH\ms_Si_seagrasses\4.WhatWeSent-Biogeochemistry\BGCH-D-24-00100_R1-ACCEPTED\"/>
    </mc:Choice>
  </mc:AlternateContent>
  <bookViews>
    <workbookView xWindow="0" yWindow="0" windowWidth="19200" windowHeight="6470"/>
  </bookViews>
  <sheets>
    <sheet name="READ ME" sheetId="13" r:id="rId1"/>
    <sheet name="1.Raw Data AutoAnalyzer HF" sheetId="15" r:id="rId2"/>
    <sheet name="2. Results HF digestion" sheetId="14" r:id="rId3"/>
    <sheet name="3.Raw data AutoAnalyzer NaOH" sheetId="6" r:id="rId4"/>
    <sheet name="4.Dilution NaOH digestion" sheetId="10" r:id="rId5"/>
    <sheet name="5.DW for NaOH digestion" sheetId="12" r:id="rId6"/>
    <sheet name="6.Results NaOH digestion" sheetId="9" r:id="rId7"/>
    <sheet name="7.Raw Data AutoAnal HF postNaOH" sheetId="16" r:id="rId8"/>
    <sheet name="8. Results HF postNaOH" sheetId="17" r:id="rId9"/>
    <sheet name="9.Z.marina_Si_stock-Bay_Brest" sheetId="18"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8" l="1"/>
  <c r="F7" i="18"/>
  <c r="D8" i="18" l="1"/>
  <c r="G6" i="18"/>
  <c r="F6" i="18"/>
  <c r="G5" i="18"/>
  <c r="I5" i="18" s="1"/>
  <c r="F5" i="18"/>
  <c r="F8" i="18" l="1"/>
  <c r="H5" i="18"/>
  <c r="J5" i="18" s="1"/>
  <c r="K5" i="18"/>
  <c r="I7" i="18"/>
  <c r="K7" i="18" s="1"/>
  <c r="I6" i="18"/>
  <c r="K6" i="18" s="1"/>
  <c r="O5" i="18"/>
  <c r="N7" i="18"/>
  <c r="N6" i="18"/>
  <c r="N5" i="18"/>
  <c r="M7" i="18"/>
  <c r="M6" i="18"/>
  <c r="M5" i="18"/>
  <c r="R5" i="18" l="1"/>
  <c r="Q5" i="18"/>
  <c r="N8" i="18"/>
  <c r="P5" i="18"/>
  <c r="M8" i="18"/>
  <c r="E8" i="18" s="1"/>
  <c r="H7" i="18" l="1"/>
  <c r="H6" i="18"/>
  <c r="H8" i="18" l="1"/>
  <c r="J8" i="18" s="1"/>
  <c r="Q7" i="18"/>
  <c r="Q6" i="18"/>
  <c r="R6" i="18"/>
  <c r="R7" i="18"/>
  <c r="O6" i="18"/>
  <c r="P6" i="18"/>
  <c r="O7" i="18"/>
  <c r="O8" i="18" s="1"/>
  <c r="P7" i="18"/>
  <c r="J6" i="18"/>
  <c r="J7" i="18"/>
  <c r="M10" i="17"/>
  <c r="M9" i="17"/>
  <c r="M8" i="17"/>
  <c r="M7" i="17"/>
  <c r="M6" i="17"/>
  <c r="L6" i="17"/>
  <c r="N6" i="17" s="1"/>
  <c r="L7" i="17"/>
  <c r="N7" i="17" s="1"/>
  <c r="L8" i="17"/>
  <c r="N8" i="17" s="1"/>
  <c r="L9" i="17"/>
  <c r="N9" i="17" s="1"/>
  <c r="L10" i="17"/>
  <c r="N10" i="17" s="1"/>
  <c r="Q14" i="9"/>
  <c r="Q13" i="9"/>
  <c r="Q12" i="9"/>
  <c r="Q11" i="9"/>
  <c r="Q10" i="9"/>
  <c r="Q9" i="9"/>
  <c r="Q8" i="9"/>
  <c r="Q7" i="9"/>
  <c r="Q6" i="9"/>
  <c r="Q5" i="9"/>
  <c r="P14" i="9"/>
  <c r="P13" i="9"/>
  <c r="P12" i="9"/>
  <c r="P11" i="9"/>
  <c r="P10" i="9"/>
  <c r="P9" i="9"/>
  <c r="P8" i="9"/>
  <c r="P7" i="9"/>
  <c r="P6" i="9"/>
  <c r="P5" i="9"/>
  <c r="H15" i="17"/>
  <c r="H13" i="17"/>
  <c r="Q8" i="18" l="1"/>
  <c r="R8" i="18"/>
  <c r="P8" i="18"/>
  <c r="G8" i="18" s="1"/>
  <c r="I8" i="18"/>
  <c r="T6" i="18"/>
  <c r="S6" i="18"/>
  <c r="T7" i="18"/>
  <c r="S7" i="18"/>
  <c r="N15" i="17"/>
  <c r="N13" i="17"/>
  <c r="G7" i="17"/>
  <c r="G3" i="17"/>
  <c r="H15" i="16"/>
  <c r="G15" i="16"/>
  <c r="G10" i="17"/>
  <c r="H10" i="17" s="1"/>
  <c r="G9" i="17"/>
  <c r="H9" i="17" s="1"/>
  <c r="G8" i="17"/>
  <c r="H8" i="17" s="1"/>
  <c r="H7" i="17"/>
  <c r="G6" i="17"/>
  <c r="H6" i="17" s="1"/>
  <c r="G5" i="17"/>
  <c r="G4" i="17"/>
  <c r="T5" i="18" l="1"/>
  <c r="S5" i="18"/>
  <c r="S8" i="18"/>
  <c r="T8" i="18"/>
  <c r="G32" i="15"/>
  <c r="G25" i="15"/>
  <c r="H32" i="15"/>
  <c r="H25" i="15"/>
  <c r="H15" i="15"/>
  <c r="G15" i="15"/>
  <c r="F15" i="6"/>
  <c r="F16" i="15"/>
  <c r="F17" i="15"/>
  <c r="F18" i="15"/>
  <c r="F19" i="15"/>
  <c r="F25" i="15"/>
  <c r="F26" i="15"/>
  <c r="F27" i="15"/>
  <c r="F28" i="15"/>
  <c r="F29" i="15"/>
  <c r="F32" i="15"/>
  <c r="F33" i="15"/>
  <c r="F34" i="15"/>
  <c r="F35" i="15"/>
  <c r="F36" i="15"/>
  <c r="F15" i="15"/>
  <c r="E22" i="15"/>
  <c r="K8" i="18" l="1"/>
  <c r="D4" i="15"/>
  <c r="D12" i="6"/>
  <c r="D4" i="6"/>
  <c r="D36" i="15"/>
  <c r="D35" i="15"/>
  <c r="D34" i="15"/>
  <c r="D33" i="15"/>
  <c r="D32" i="15"/>
  <c r="D29" i="15"/>
  <c r="D28" i="15"/>
  <c r="D27" i="15"/>
  <c r="D26" i="15"/>
  <c r="D25" i="15"/>
  <c r="D24" i="15"/>
  <c r="D23" i="15"/>
  <c r="D22" i="15"/>
  <c r="D19" i="15"/>
  <c r="D18" i="15"/>
  <c r="D17" i="15"/>
  <c r="D16" i="15"/>
  <c r="D15" i="15"/>
  <c r="D12" i="15"/>
  <c r="D11" i="15"/>
  <c r="D10" i="15"/>
  <c r="D9" i="15"/>
  <c r="D8" i="15"/>
  <c r="D7" i="15"/>
  <c r="D6" i="15"/>
  <c r="D5" i="15"/>
  <c r="E10" i="12" l="1"/>
  <c r="E9" i="12"/>
  <c r="E8" i="12"/>
  <c r="E7" i="12"/>
  <c r="E6" i="12"/>
  <c r="F5" i="9" l="1"/>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4" i="9"/>
  <c r="G4" i="9" s="1"/>
  <c r="K4" i="9" s="1"/>
  <c r="G53" i="9" l="1"/>
  <c r="K53" i="9" s="1"/>
  <c r="M53" i="9" s="1"/>
  <c r="G52" i="9"/>
  <c r="K52" i="9" s="1"/>
  <c r="M52" i="9" s="1"/>
  <c r="G51" i="9"/>
  <c r="K51" i="9" s="1"/>
  <c r="M51" i="9" s="1"/>
  <c r="G50" i="9"/>
  <c r="K50" i="9" s="1"/>
  <c r="M50" i="9" s="1"/>
  <c r="G49" i="9"/>
  <c r="K49" i="9" s="1"/>
  <c r="M49" i="9" s="1"/>
  <c r="G48" i="9"/>
  <c r="K48" i="9" s="1"/>
  <c r="M48" i="9" s="1"/>
  <c r="G47" i="9"/>
  <c r="K47" i="9" s="1"/>
  <c r="M47" i="9" s="1"/>
  <c r="G46" i="9"/>
  <c r="K46" i="9" s="1"/>
  <c r="M46" i="9" s="1"/>
  <c r="G45" i="9"/>
  <c r="K45" i="9" s="1"/>
  <c r="M45" i="9" s="1"/>
  <c r="G44" i="9"/>
  <c r="K44" i="9" s="1"/>
  <c r="M44" i="9" s="1"/>
  <c r="G43" i="9"/>
  <c r="K43" i="9" s="1"/>
  <c r="M43" i="9" s="1"/>
  <c r="G42" i="9"/>
  <c r="K42" i="9" s="1"/>
  <c r="M42" i="9" s="1"/>
  <c r="G41" i="9"/>
  <c r="K41" i="9" s="1"/>
  <c r="M41" i="9" s="1"/>
  <c r="G40" i="9"/>
  <c r="K40" i="9" s="1"/>
  <c r="M40" i="9" s="1"/>
  <c r="G39" i="9"/>
  <c r="K39" i="9" s="1"/>
  <c r="M39" i="9" s="1"/>
  <c r="G38" i="9"/>
  <c r="K38" i="9" s="1"/>
  <c r="M38" i="9" s="1"/>
  <c r="G37" i="9"/>
  <c r="K37" i="9" s="1"/>
  <c r="M37" i="9" s="1"/>
  <c r="G36" i="9"/>
  <c r="K36" i="9" s="1"/>
  <c r="M36" i="9" s="1"/>
  <c r="G35" i="9"/>
  <c r="K35" i="9" s="1"/>
  <c r="M35" i="9" s="1"/>
  <c r="G34" i="9"/>
  <c r="K34" i="9" s="1"/>
  <c r="M34" i="9" s="1"/>
  <c r="G33" i="9"/>
  <c r="K33" i="9" s="1"/>
  <c r="M33" i="9" s="1"/>
  <c r="G32" i="9"/>
  <c r="K32" i="9" s="1"/>
  <c r="M32" i="9" s="1"/>
  <c r="G31" i="9"/>
  <c r="K31" i="9" s="1"/>
  <c r="M31" i="9" s="1"/>
  <c r="G30" i="9"/>
  <c r="K30" i="9" s="1"/>
  <c r="M30" i="9" s="1"/>
  <c r="G29" i="9"/>
  <c r="K29" i="9" s="1"/>
  <c r="M29" i="9" s="1"/>
  <c r="G28" i="9"/>
  <c r="K28" i="9" s="1"/>
  <c r="M28" i="9" s="1"/>
  <c r="G27" i="9"/>
  <c r="K27" i="9" s="1"/>
  <c r="M27" i="9" s="1"/>
  <c r="G26" i="9"/>
  <c r="K26" i="9" s="1"/>
  <c r="M26" i="9" s="1"/>
  <c r="G25" i="9"/>
  <c r="K25" i="9" s="1"/>
  <c r="M25" i="9" s="1"/>
  <c r="G24" i="9"/>
  <c r="K24" i="9" s="1"/>
  <c r="M24" i="9" s="1"/>
  <c r="G23" i="9"/>
  <c r="K23" i="9" s="1"/>
  <c r="M23" i="9" s="1"/>
  <c r="G22" i="9"/>
  <c r="K22" i="9" s="1"/>
  <c r="M22" i="9" s="1"/>
  <c r="G21" i="9"/>
  <c r="K21" i="9" s="1"/>
  <c r="M21" i="9" s="1"/>
  <c r="G20" i="9"/>
  <c r="K20" i="9" s="1"/>
  <c r="M20" i="9" s="1"/>
  <c r="G19" i="9"/>
  <c r="K19" i="9" s="1"/>
  <c r="M19" i="9" s="1"/>
  <c r="G18" i="9"/>
  <c r="K18" i="9" s="1"/>
  <c r="M18" i="9" s="1"/>
  <c r="G17" i="9"/>
  <c r="K17" i="9" s="1"/>
  <c r="M17" i="9" s="1"/>
  <c r="G16" i="9"/>
  <c r="K16" i="9" s="1"/>
  <c r="M16" i="9" s="1"/>
  <c r="G15" i="9"/>
  <c r="K15" i="9" s="1"/>
  <c r="M15" i="9" s="1"/>
  <c r="G14" i="9"/>
  <c r="K14" i="9" s="1"/>
  <c r="M14" i="9" s="1"/>
  <c r="G13" i="9"/>
  <c r="K13" i="9" s="1"/>
  <c r="M13" i="9" s="1"/>
  <c r="G12" i="9"/>
  <c r="K12" i="9" s="1"/>
  <c r="M12" i="9" s="1"/>
  <c r="G11" i="9"/>
  <c r="K11" i="9" s="1"/>
  <c r="M11" i="9" s="1"/>
  <c r="G10" i="9"/>
  <c r="K10" i="9" s="1"/>
  <c r="M10" i="9" s="1"/>
  <c r="G9" i="9"/>
  <c r="K9" i="9" s="1"/>
  <c r="M9" i="9" s="1"/>
  <c r="K8" i="9"/>
  <c r="M8" i="9" s="1"/>
  <c r="G8" i="9"/>
  <c r="K7" i="9"/>
  <c r="M7" i="9" s="1"/>
  <c r="G7" i="9"/>
  <c r="K6" i="9"/>
  <c r="M6" i="9" s="1"/>
  <c r="G6" i="9"/>
  <c r="G5" i="9"/>
  <c r="K5" i="9" s="1"/>
  <c r="M5" i="9" s="1"/>
  <c r="M4" i="9"/>
  <c r="D148" i="6" l="1"/>
  <c r="D147" i="6"/>
  <c r="D146" i="6"/>
  <c r="E146" i="6" s="1"/>
  <c r="D145" i="6"/>
  <c r="D144" i="6"/>
  <c r="D143" i="6"/>
  <c r="D142" i="6"/>
  <c r="E142" i="6" s="1"/>
  <c r="D141" i="6"/>
  <c r="D140" i="6"/>
  <c r="D139" i="6"/>
  <c r="D138" i="6"/>
  <c r="E138" i="6" s="1"/>
  <c r="D137" i="6"/>
  <c r="D136" i="6"/>
  <c r="D135" i="6"/>
  <c r="D134" i="6"/>
  <c r="D133" i="6"/>
  <c r="D132" i="6"/>
  <c r="D131" i="6"/>
  <c r="D130" i="6"/>
  <c r="E130" i="6" s="1"/>
  <c r="D129" i="6"/>
  <c r="E128" i="6" s="1"/>
  <c r="D128" i="6"/>
  <c r="D127" i="6"/>
  <c r="D126" i="6"/>
  <c r="D125" i="6"/>
  <c r="D124" i="6"/>
  <c r="D123" i="6"/>
  <c r="D122" i="6"/>
  <c r="D121" i="6"/>
  <c r="D120" i="6"/>
  <c r="D119" i="6"/>
  <c r="D118" i="6"/>
  <c r="D117" i="6"/>
  <c r="D116" i="6"/>
  <c r="D115" i="6"/>
  <c r="D114" i="6"/>
  <c r="D113" i="6"/>
  <c r="D112" i="6"/>
  <c r="D111" i="6"/>
  <c r="D110" i="6"/>
  <c r="D109" i="6"/>
  <c r="D108"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E52" i="6" s="1"/>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1" i="6"/>
  <c r="D10" i="6"/>
  <c r="D9" i="6"/>
  <c r="D8" i="6"/>
  <c r="D7" i="6"/>
  <c r="D6" i="6"/>
  <c r="D5" i="6"/>
  <c r="E132" i="6" l="1"/>
  <c r="E136" i="6"/>
  <c r="F59" i="6"/>
  <c r="E62" i="6"/>
  <c r="F65" i="6" s="1"/>
  <c r="E72" i="6"/>
  <c r="E22" i="6"/>
  <c r="F29" i="6" s="1"/>
  <c r="E42" i="6"/>
  <c r="F46" i="6" s="1"/>
  <c r="E12" i="6"/>
  <c r="E140" i="6"/>
  <c r="F76" i="6" s="1"/>
  <c r="F56" i="6"/>
  <c r="F58" i="6"/>
  <c r="F55" i="6"/>
  <c r="E82" i="6"/>
  <c r="F86" i="6" s="1"/>
  <c r="E32" i="6"/>
  <c r="F36" i="6" s="1"/>
  <c r="E98" i="6"/>
  <c r="F102" i="6" s="1"/>
  <c r="E108" i="6"/>
  <c r="F115" i="6" s="1"/>
  <c r="E134" i="6"/>
  <c r="E144" i="6"/>
  <c r="F66" i="6"/>
  <c r="F19" i="6"/>
  <c r="F85" i="6"/>
  <c r="F89" i="6"/>
  <c r="F103" i="6"/>
  <c r="F38" i="6"/>
  <c r="F37" i="6"/>
  <c r="F27" i="6"/>
  <c r="F28" i="6"/>
  <c r="F75" i="6"/>
  <c r="F78" i="6"/>
  <c r="F57" i="6"/>
  <c r="F77" i="6"/>
  <c r="F111" i="6" l="1"/>
  <c r="F68" i="6"/>
  <c r="F16" i="6"/>
  <c r="F67" i="6"/>
  <c r="G65" i="6" s="1"/>
  <c r="F69" i="6"/>
  <c r="F17" i="6"/>
  <c r="F79" i="6"/>
  <c r="F48" i="6"/>
  <c r="F47" i="6"/>
  <c r="F26" i="6"/>
  <c r="F45" i="6"/>
  <c r="F35" i="6"/>
  <c r="G35" i="6" s="1"/>
  <c r="F39" i="6"/>
  <c r="F49" i="6"/>
  <c r="F25" i="6"/>
  <c r="H25" i="6" s="1"/>
  <c r="F101" i="6"/>
  <c r="F88" i="6"/>
  <c r="F105" i="6"/>
  <c r="F87" i="6"/>
  <c r="G85" i="6" s="1"/>
  <c r="F18" i="6"/>
  <c r="G15" i="6" s="1"/>
  <c r="F104" i="6"/>
  <c r="G55" i="6"/>
  <c r="F112" i="6"/>
  <c r="H55" i="6"/>
  <c r="F114" i="6"/>
  <c r="F113" i="6"/>
  <c r="H75" i="6"/>
  <c r="G75" i="6"/>
  <c r="G25" i="6"/>
  <c r="H15" i="6"/>
  <c r="G45" i="6" l="1"/>
  <c r="H35" i="6"/>
  <c r="H101" i="6"/>
  <c r="H65" i="6"/>
  <c r="H45" i="6"/>
  <c r="H85" i="6"/>
  <c r="G101" i="6"/>
  <c r="G111" i="6"/>
  <c r="H111" i="6"/>
</calcChain>
</file>

<file path=xl/comments1.xml><?xml version="1.0" encoding="utf-8"?>
<comments xmlns="http://schemas.openxmlformats.org/spreadsheetml/2006/main">
  <authors>
    <author>María</author>
  </authors>
  <commentList>
    <comment ref="B3" authorId="0" shapeId="0">
      <text>
        <r>
          <rPr>
            <b/>
            <sz val="9"/>
            <color indexed="81"/>
            <rFont val="Tahoma"/>
            <family val="2"/>
          </rPr>
          <t>María:</t>
        </r>
        <r>
          <rPr>
            <sz val="9"/>
            <color indexed="81"/>
            <rFont val="Tahoma"/>
            <family val="2"/>
          </rPr>
          <t xml:space="preserve">
Data  from "2. Dilution NaOH digestion" sheet</t>
        </r>
      </text>
    </comment>
    <comment ref="C3" authorId="0" shapeId="0">
      <text>
        <r>
          <rPr>
            <b/>
            <sz val="9"/>
            <color indexed="81"/>
            <rFont val="Tahoma"/>
            <family val="2"/>
          </rPr>
          <t>María:</t>
        </r>
        <r>
          <rPr>
            <sz val="9"/>
            <color indexed="81"/>
            <rFont val="Tahoma"/>
            <family val="2"/>
          </rPr>
          <t xml:space="preserve">
Data  from "2. Dilution NaOH digestion" sheet</t>
        </r>
      </text>
    </comment>
    <comment ref="D3" authorId="0" shapeId="0">
      <text>
        <r>
          <rPr>
            <b/>
            <sz val="9"/>
            <color indexed="81"/>
            <rFont val="Tahoma"/>
            <family val="2"/>
          </rPr>
          <t>María:</t>
        </r>
        <r>
          <rPr>
            <sz val="9"/>
            <color indexed="81"/>
            <rFont val="Tahoma"/>
            <family val="2"/>
          </rPr>
          <t xml:space="preserve">
Data  from "2. Dilution NaOH digestion" sheet</t>
        </r>
      </text>
    </comment>
    <comment ref="E3" authorId="0" shapeId="0">
      <text>
        <r>
          <rPr>
            <b/>
            <sz val="9"/>
            <color indexed="81"/>
            <rFont val="Tahoma"/>
            <family val="2"/>
          </rPr>
          <t>María:</t>
        </r>
        <r>
          <rPr>
            <sz val="9"/>
            <color indexed="81"/>
            <rFont val="Tahoma"/>
            <family val="2"/>
          </rPr>
          <t xml:space="preserve">
Data  from "2. Dilution NaOH digestion" sheet</t>
        </r>
      </text>
    </comment>
    <comment ref="J3" authorId="0" shapeId="0">
      <text>
        <r>
          <rPr>
            <b/>
            <sz val="9"/>
            <color indexed="81"/>
            <rFont val="Tahoma"/>
            <family val="2"/>
          </rPr>
          <t>María:</t>
        </r>
        <r>
          <rPr>
            <sz val="9"/>
            <color indexed="81"/>
            <rFont val="Tahoma"/>
            <family val="2"/>
          </rPr>
          <t xml:space="preserve">
Data from "1. Raw data NaOH AutoAnalyzer" sheet</t>
        </r>
      </text>
    </comment>
    <comment ref="L3" authorId="0" shapeId="0">
      <text>
        <r>
          <rPr>
            <b/>
            <sz val="9"/>
            <color indexed="81"/>
            <rFont val="Tahoma"/>
            <family val="2"/>
          </rPr>
          <t>María:</t>
        </r>
        <r>
          <rPr>
            <sz val="9"/>
            <color indexed="81"/>
            <rFont val="Tahoma"/>
            <family val="2"/>
          </rPr>
          <t xml:space="preserve">
Data from "3. Zostera DW for NaOH digestion" sheet</t>
        </r>
      </text>
    </comment>
  </commentList>
</comments>
</file>

<file path=xl/comments2.xml><?xml version="1.0" encoding="utf-8"?>
<comments xmlns="http://schemas.openxmlformats.org/spreadsheetml/2006/main">
  <authors>
    <author>María</author>
  </authors>
  <commentList>
    <comment ref="F3" authorId="0" shapeId="0">
      <text>
        <r>
          <rPr>
            <b/>
            <sz val="9"/>
            <color indexed="81"/>
            <rFont val="Tahoma"/>
            <family val="2"/>
          </rPr>
          <t>María:</t>
        </r>
        <r>
          <rPr>
            <sz val="9"/>
            <color indexed="81"/>
            <rFont val="Tahoma"/>
            <family val="2"/>
          </rPr>
          <t xml:space="preserve">
Si content of leaves of Zostera marina measured in this study = 0.26% Si:DW</t>
        </r>
      </text>
    </comment>
  </commentList>
</comments>
</file>

<file path=xl/sharedStrings.xml><?xml version="1.0" encoding="utf-8"?>
<sst xmlns="http://schemas.openxmlformats.org/spreadsheetml/2006/main" count="585" uniqueCount="197">
  <si>
    <t>Sample ID</t>
  </si>
  <si>
    <t>Results 2</t>
  </si>
  <si>
    <t>AD Values</t>
  </si>
  <si>
    <t>Primer</t>
  </si>
  <si>
    <t>Null</t>
  </si>
  <si>
    <t>STD 5  M</t>
  </si>
  <si>
    <t>STD 10 µM</t>
  </si>
  <si>
    <t>STD 20 µM</t>
  </si>
  <si>
    <t>STD 30 µM</t>
  </si>
  <si>
    <t>STD 50 µM</t>
  </si>
  <si>
    <t>Baseline</t>
  </si>
  <si>
    <t>STD 0µM</t>
  </si>
  <si>
    <t>t1</t>
  </si>
  <si>
    <t>t2</t>
  </si>
  <si>
    <t>t3</t>
  </si>
  <si>
    <t>t4</t>
  </si>
  <si>
    <t>t5</t>
  </si>
  <si>
    <t>t6</t>
  </si>
  <si>
    <t>t8</t>
  </si>
  <si>
    <t>t24</t>
  </si>
  <si>
    <t>t48</t>
  </si>
  <si>
    <t>STD 5µM</t>
  </si>
  <si>
    <t>STD 10µM</t>
  </si>
  <si>
    <t>STD 20µM</t>
  </si>
  <si>
    <t>STD 30µM</t>
  </si>
  <si>
    <t>STD 50µM</t>
  </si>
  <si>
    <t>BO t1</t>
  </si>
  <si>
    <t>BO t2</t>
  </si>
  <si>
    <t>BO t3</t>
  </si>
  <si>
    <t>BO t4</t>
  </si>
  <si>
    <t>BO t5</t>
  </si>
  <si>
    <t>BO t6</t>
  </si>
  <si>
    <t>BO t8</t>
  </si>
  <si>
    <t>BO t24</t>
  </si>
  <si>
    <t>BO t48</t>
  </si>
  <si>
    <t>t72</t>
  </si>
  <si>
    <t>T24</t>
  </si>
  <si>
    <t>T48</t>
  </si>
  <si>
    <t>Dsi corrected with calibrants</t>
  </si>
  <si>
    <t>Avg Ctrl + BO</t>
  </si>
  <si>
    <t>Dsi corrected</t>
  </si>
  <si>
    <t>Avrg Dsi</t>
  </si>
  <si>
    <t>SD</t>
  </si>
  <si>
    <t>Si biomass (g)</t>
  </si>
  <si>
    <t>Zostera DW (g)</t>
  </si>
  <si>
    <t>%Si:DW Zostera</t>
  </si>
  <si>
    <t>T1</t>
  </si>
  <si>
    <t>T2</t>
  </si>
  <si>
    <t>T3</t>
  </si>
  <si>
    <t>T4</t>
  </si>
  <si>
    <t>T5</t>
  </si>
  <si>
    <t>T6</t>
  </si>
  <si>
    <t>T8</t>
  </si>
  <si>
    <t>T72</t>
  </si>
  <si>
    <t>BO t72</t>
  </si>
  <si>
    <t>T1 (1H)</t>
  </si>
  <si>
    <t>T2 (2H)</t>
  </si>
  <si>
    <t>Time T0 (h)</t>
  </si>
  <si>
    <t>Time (h)</t>
  </si>
  <si>
    <t>Vol HCl 1 M (mL)</t>
  </si>
  <si>
    <t>1.00</t>
  </si>
  <si>
    <t>0.99</t>
  </si>
  <si>
    <t>40.00</t>
  </si>
  <si>
    <t>0.98</t>
  </si>
  <si>
    <t>40.01</t>
  </si>
  <si>
    <t>Vol NaOH 0,5 M (g)</t>
  </si>
  <si>
    <t>40.12</t>
  </si>
  <si>
    <t>9.28</t>
  </si>
  <si>
    <t>9.32</t>
  </si>
  <si>
    <t>40.04</t>
  </si>
  <si>
    <t>9.26</t>
  </si>
  <si>
    <t>9.29</t>
  </si>
  <si>
    <t>9.27</t>
  </si>
  <si>
    <t>40.37</t>
  </si>
  <si>
    <t>9.30</t>
  </si>
  <si>
    <t>40.05</t>
  </si>
  <si>
    <t>9.33</t>
  </si>
  <si>
    <t>40.02</t>
  </si>
  <si>
    <t>T3 (3H)</t>
  </si>
  <si>
    <t>T4 (4H)</t>
  </si>
  <si>
    <t>T5 (5H)</t>
  </si>
  <si>
    <t>9.35</t>
  </si>
  <si>
    <t>9.14</t>
  </si>
  <si>
    <t>9.34</t>
  </si>
  <si>
    <t>1.01</t>
  </si>
  <si>
    <t>9.25</t>
  </si>
  <si>
    <t>9.22</t>
  </si>
  <si>
    <t>T6 (6H)</t>
  </si>
  <si>
    <t>T8 (8H)</t>
  </si>
  <si>
    <t>T24 (24H)</t>
  </si>
  <si>
    <t>9.36</t>
  </si>
  <si>
    <t>9.31</t>
  </si>
  <si>
    <t>T48 (48H)</t>
  </si>
  <si>
    <t>T72 (72H)</t>
  </si>
  <si>
    <t>9.24</t>
  </si>
  <si>
    <t>Theorethical</t>
  </si>
  <si>
    <t>Tare</t>
  </si>
  <si>
    <t>Digested</t>
  </si>
  <si>
    <t>DW (mg)</t>
  </si>
  <si>
    <t>Ctrl NaOH 1</t>
  </si>
  <si>
    <t>Ctrl NaOH 2</t>
  </si>
  <si>
    <t>Ctrl NaOH 3</t>
  </si>
  <si>
    <t>Zostera NaOH 1</t>
  </si>
  <si>
    <t>Zostera NaOH 2</t>
  </si>
  <si>
    <t>Zostera NaOH 3</t>
  </si>
  <si>
    <t>Zostera NaOH 4</t>
  </si>
  <si>
    <t>Zostera NaOH 5</t>
  </si>
  <si>
    <t>Time</t>
  </si>
  <si>
    <t>Affiliations:</t>
  </si>
  <si>
    <r>
      <rPr>
        <vertAlign val="superscript"/>
        <sz val="11"/>
        <color theme="1"/>
        <rFont val="Arial"/>
        <family val="2"/>
      </rPr>
      <t>1</t>
    </r>
    <r>
      <rPr>
        <sz val="11"/>
        <color theme="1"/>
        <rFont val="Arial"/>
        <family val="2"/>
      </rPr>
      <t xml:space="preserve"> Laboratoire des Sciences de l’Environnement Marin, UMR 6539, Institut Universitaire Européen de la Mer, Technopôle Brest-Iroise, 29286 Plouzané, France</t>
    </r>
  </si>
  <si>
    <r>
      <t>2</t>
    </r>
    <r>
      <rPr>
        <sz val="11"/>
        <color theme="1"/>
        <rFont val="Arial"/>
        <family val="2"/>
      </rPr>
      <t xml:space="preserve"> University of Antwerpen, ECOSPHERE research group, Universiteitsplein 1, 2610 Wilrijk, Belgium</t>
    </r>
  </si>
  <si>
    <r>
      <t xml:space="preserve">3 </t>
    </r>
    <r>
      <rPr>
        <sz val="11"/>
        <color rgb="FF000000"/>
        <rFont val="Arial"/>
        <family val="2"/>
      </rPr>
      <t>Department of Marine Ecology. Mediterranean Institute for Advanced Studies (IMEDEA, UIB-CSIC), Esporles, Spain</t>
    </r>
  </si>
  <si>
    <r>
      <t xml:space="preserve">4 </t>
    </r>
    <r>
      <rPr>
        <sz val="11"/>
        <color rgb="FF000000"/>
        <rFont val="Arial"/>
        <family val="2"/>
      </rPr>
      <t>Global Change Research Group. Mediterranean Institute for Advanced Studies (IMEDEA, UIB-CSIC), Esporles, Spain</t>
    </r>
  </si>
  <si>
    <r>
      <t>5</t>
    </r>
    <r>
      <rPr>
        <sz val="11"/>
        <color theme="1"/>
        <rFont val="Arial"/>
        <family val="2"/>
      </rPr>
      <t xml:space="preserve"> Institut de Ciències del Mar (ICM), CSIC, Passeig Marítim de la Barceloneta, 37-49, 08003 Barcelona, Spain</t>
    </r>
  </si>
  <si>
    <r>
      <t>6</t>
    </r>
    <r>
      <rPr>
        <sz val="11"/>
        <color theme="1"/>
        <rFont val="Arial"/>
        <family val="2"/>
      </rPr>
      <t xml:space="preserve"> Bigelow Laboratory for Ocean Sciences, 60 Bigelow Dr., East Boothbay, ME 04544, USA</t>
    </r>
  </si>
  <si>
    <r>
      <t>7</t>
    </r>
    <r>
      <rPr>
        <sz val="11"/>
        <color theme="1"/>
        <rFont val="Arial"/>
        <family val="2"/>
      </rPr>
      <t xml:space="preserve"> Instituto de Investigaciones Marina (IIM), CSIC, C/Eduardo Cabello 6, 36208 Vigo, Spain</t>
    </r>
  </si>
  <si>
    <t>* corresponding author: lopezacosta@iim.csic.es</t>
  </si>
  <si>
    <t>Measured</t>
  </si>
  <si>
    <t>Sample #</t>
  </si>
  <si>
    <t>DW= Dry Weight</t>
  </si>
  <si>
    <t>AVRG</t>
  </si>
  <si>
    <t>Vol digestor (mL)</t>
  </si>
  <si>
    <t>Sample vol. (g)</t>
  </si>
  <si>
    <t>Vol MQ (g)</t>
  </si>
  <si>
    <t>Total volume (mL)</t>
  </si>
  <si>
    <t>Sample vol. (mL)</t>
  </si>
  <si>
    <t>Vol MQ (mL)</t>
  </si>
  <si>
    <t>Dilution factor</t>
  </si>
  <si>
    <t>Dsi corrected (µM)</t>
  </si>
  <si>
    <t>SI (µM)</t>
  </si>
  <si>
    <t>SI (µM) corrected</t>
  </si>
  <si>
    <t xml:space="preserve">Dilution </t>
  </si>
  <si>
    <t xml:space="preserve">Si biomass (g) </t>
  </si>
  <si>
    <t>STD 0-60 g/L H3BO3</t>
  </si>
  <si>
    <t>STD 2.5 µM</t>
  </si>
  <si>
    <t>STD 60 µM</t>
  </si>
  <si>
    <t>STD 75 µM</t>
  </si>
  <si>
    <t>15mg</t>
  </si>
  <si>
    <t>Ctrl</t>
  </si>
  <si>
    <t>10mg</t>
  </si>
  <si>
    <t>5mg</t>
  </si>
  <si>
    <t>End</t>
  </si>
  <si>
    <t>Raw data AutoAnalyzer HF sheet</t>
  </si>
  <si>
    <t xml:space="preserve">Zostera DW added </t>
  </si>
  <si>
    <t>Theoric DW (mg)</t>
  </si>
  <si>
    <t>Real DW (mg)</t>
  </si>
  <si>
    <t>Volume H3BO3 (ml)</t>
  </si>
  <si>
    <t>Vol. tot. sample (ml)</t>
  </si>
  <si>
    <t>DW = Dry weight</t>
  </si>
  <si>
    <t xml:space="preserve">Sample </t>
  </si>
  <si>
    <t>Mass Zostera added (g)</t>
  </si>
  <si>
    <t>Dilution</t>
  </si>
  <si>
    <t>%SI:DW Zostera</t>
  </si>
  <si>
    <t>9</t>
  </si>
  <si>
    <t>10</t>
  </si>
  <si>
    <t>11</t>
  </si>
  <si>
    <t>12</t>
  </si>
  <si>
    <t>13</t>
  </si>
  <si>
    <t>14</t>
  </si>
  <si>
    <t>15</t>
  </si>
  <si>
    <t>16</t>
  </si>
  <si>
    <t>Si corrected (µM)</t>
  </si>
  <si>
    <t>Hf added (ml)</t>
  </si>
  <si>
    <r>
      <rPr>
        <b/>
        <sz val="11"/>
        <color theme="1"/>
        <rFont val="Calibri"/>
        <family val="2"/>
        <scheme val="minor"/>
      </rPr>
      <t>4. Dilution NaOH digestion,</t>
    </r>
    <r>
      <rPr>
        <sz val="11"/>
        <color theme="1"/>
        <rFont val="Calibri"/>
        <family val="2"/>
        <scheme val="minor"/>
      </rPr>
      <t xml:space="preserve"> containing the dilution weights during neutralization of the digestion in NaOH 0.5M for each sample at each sampling time</t>
    </r>
  </si>
  <si>
    <r>
      <rPr>
        <b/>
        <sz val="11"/>
        <color theme="1"/>
        <rFont val="Calibri"/>
        <family val="2"/>
        <scheme val="minor"/>
      </rPr>
      <t>6. Results NaOH digestion,</t>
    </r>
    <r>
      <rPr>
        <sz val="11"/>
        <color theme="1"/>
        <rFont val="Calibri"/>
        <family val="2"/>
        <scheme val="minor"/>
      </rPr>
      <t xml:space="preserve"> containing the tracked calculations to determine the content of biogenic silica (in %Si:DW) of </t>
    </r>
    <r>
      <rPr>
        <i/>
        <sz val="11"/>
        <color theme="1"/>
        <rFont val="Calibri"/>
        <family val="2"/>
        <scheme val="minor"/>
      </rPr>
      <t>Zostera marina</t>
    </r>
  </si>
  <si>
    <r>
      <rPr>
        <b/>
        <sz val="11"/>
        <color theme="1"/>
        <rFont val="Calibri"/>
        <family val="2"/>
        <scheme val="minor"/>
      </rPr>
      <t xml:space="preserve">8. Results HF post NaOH, </t>
    </r>
    <r>
      <rPr>
        <sz val="11"/>
        <color theme="1"/>
        <rFont val="Calibri"/>
        <family val="2"/>
        <scheme val="minor"/>
      </rPr>
      <t>containing the dilution weights for each sample, the data of the dry weight of Zostera marina leaves (in grounded powder) in each sample and the tracked calculations to determine the content of biogenic silica</t>
    </r>
  </si>
  <si>
    <r>
      <rPr>
        <b/>
        <sz val="11"/>
        <color theme="1"/>
        <rFont val="Calibri"/>
        <family val="2"/>
        <scheme val="minor"/>
      </rPr>
      <t>1. Raw data AutoAnalyzer HF</t>
    </r>
    <r>
      <rPr>
        <sz val="11"/>
        <color theme="1"/>
        <rFont val="Calibri"/>
        <family val="2"/>
        <scheme val="minor"/>
      </rPr>
      <t>, containing the data of silicon determination in the AutoAnalyzer during the initial HF digestion on 3 different mass of Zostera marina leaves (in grounded powder)</t>
    </r>
  </si>
  <si>
    <r>
      <rPr>
        <b/>
        <sz val="11"/>
        <color theme="1"/>
        <rFont val="Calibri"/>
        <family val="2"/>
        <scheme val="minor"/>
      </rPr>
      <t>2. Results HF digestion</t>
    </r>
    <r>
      <rPr>
        <sz val="11"/>
        <color theme="1"/>
        <rFont val="Calibri"/>
        <family val="2"/>
        <scheme val="minor"/>
      </rPr>
      <t>, containing the dilution weights during neutralization of the HF for each sample, the data of the dry weight of Zostera marina leaves (in grounded powder) in each sample and the tracked calculations to determine the content of biogenic silica (in% Si:DW) of Zostera marina</t>
    </r>
  </si>
  <si>
    <r>
      <rPr>
        <b/>
        <sz val="11"/>
        <color theme="1"/>
        <rFont val="Calibri"/>
        <family val="2"/>
        <scheme val="minor"/>
      </rPr>
      <t>3. Raw data AutoAnalyzer NaOH</t>
    </r>
    <r>
      <rPr>
        <sz val="11"/>
        <color theme="1"/>
        <rFont val="Calibri"/>
        <family val="2"/>
        <scheme val="minor"/>
      </rPr>
      <t>, containing the data of silicon determination in the AutoAnalyzer during the digestion kinetics conducted in NaOH 0.5M</t>
    </r>
  </si>
  <si>
    <r>
      <rPr>
        <b/>
        <sz val="11"/>
        <color theme="1"/>
        <rFont val="Calibri"/>
        <family val="2"/>
        <scheme val="minor"/>
      </rPr>
      <t>5. DW for NaOH digestion</t>
    </r>
    <r>
      <rPr>
        <sz val="11"/>
        <color theme="1"/>
        <rFont val="Calibri"/>
        <family val="2"/>
        <scheme val="minor"/>
      </rPr>
      <t>, containing the data of the dry weigth of Zostera marina leaves (in grounded podwer) weight for the digestion kinetics  in NaOH 0.5M</t>
    </r>
  </si>
  <si>
    <r>
      <t xml:space="preserve">7. Raw Data AutoAnal HF postNaOH, </t>
    </r>
    <r>
      <rPr>
        <sz val="11"/>
        <color theme="1"/>
        <rFont val="Calibri"/>
        <family val="2"/>
        <scheme val="minor"/>
      </rPr>
      <t>containing the data of silicon determination in the AutoAnalyzer during the subsequent HF digestion conducted after the alkaline digestion</t>
    </r>
  </si>
  <si>
    <t>NaOH 0.5M + HF 10% digestions</t>
  </si>
  <si>
    <t>NaOH 0.5M</t>
  </si>
  <si>
    <t>HF 10%</t>
  </si>
  <si>
    <t xml:space="preserve">Supplementary Material 2 for </t>
  </si>
  <si>
    <t>Seagrass meadow</t>
  </si>
  <si>
    <t>Leaf biomass</t>
  </si>
  <si>
    <t>Kernizi</t>
  </si>
  <si>
    <t>Roscanvel</t>
  </si>
  <si>
    <t>Lanvéoc</t>
  </si>
  <si>
    <t>Meadow surface</t>
  </si>
  <si>
    <t>Silicon reservoir</t>
  </si>
  <si>
    <r>
      <t>(10</t>
    </r>
    <r>
      <rPr>
        <b/>
        <vertAlign val="superscript"/>
        <sz val="11"/>
        <color theme="1"/>
        <rFont val="Calibri"/>
        <family val="2"/>
        <scheme val="minor"/>
      </rPr>
      <t>6</t>
    </r>
    <r>
      <rPr>
        <b/>
        <sz val="11"/>
        <color theme="1"/>
        <rFont val="Calibri"/>
        <family val="2"/>
        <scheme val="minor"/>
      </rPr>
      <t xml:space="preserve"> m</t>
    </r>
    <r>
      <rPr>
        <b/>
        <vertAlign val="superscript"/>
        <sz val="11"/>
        <color theme="1"/>
        <rFont val="Calibri"/>
        <family val="2"/>
        <scheme val="minor"/>
      </rPr>
      <t>2</t>
    </r>
    <r>
      <rPr>
        <b/>
        <sz val="11"/>
        <color theme="1"/>
        <rFont val="Calibri"/>
        <family val="2"/>
        <scheme val="minor"/>
      </rPr>
      <t>)</t>
    </r>
  </si>
  <si>
    <r>
      <t xml:space="preserve">(g </t>
    </r>
    <r>
      <rPr>
        <b/>
        <i/>
        <sz val="11"/>
        <color theme="1"/>
        <rFont val="Calibri"/>
        <family val="2"/>
        <scheme val="minor"/>
      </rPr>
      <t>Z. marina</t>
    </r>
    <r>
      <rPr>
        <b/>
        <sz val="11"/>
        <color theme="1"/>
        <rFont val="Calibri"/>
        <family val="2"/>
        <scheme val="minor"/>
      </rPr>
      <t xml:space="preserve"> m</t>
    </r>
    <r>
      <rPr>
        <b/>
        <vertAlign val="superscript"/>
        <sz val="11"/>
        <color theme="1"/>
        <rFont val="Calibri"/>
        <family val="2"/>
        <scheme val="minor"/>
      </rPr>
      <t>-2</t>
    </r>
    <r>
      <rPr>
        <b/>
        <sz val="11"/>
        <color theme="1"/>
        <rFont val="Calibri"/>
        <family val="2"/>
        <scheme val="minor"/>
      </rPr>
      <t>)</t>
    </r>
  </si>
  <si>
    <r>
      <t xml:space="preserve"> (g Si m</t>
    </r>
    <r>
      <rPr>
        <b/>
        <vertAlign val="superscript"/>
        <sz val="11"/>
        <color theme="1"/>
        <rFont val="Calibri"/>
        <family val="2"/>
        <scheme val="minor"/>
      </rPr>
      <t>-2</t>
    </r>
    <r>
      <rPr>
        <b/>
        <sz val="11"/>
        <color theme="1"/>
        <rFont val="Calibri"/>
        <family val="2"/>
        <scheme val="minor"/>
      </rPr>
      <t>)</t>
    </r>
  </si>
  <si>
    <t>BAY OF BREST</t>
  </si>
  <si>
    <t>TOTAL SILICON RESERVOIR</t>
  </si>
  <si>
    <t>kg Si</t>
  </si>
  <si>
    <r>
      <t>10</t>
    </r>
    <r>
      <rPr>
        <b/>
        <vertAlign val="superscript"/>
        <sz val="11"/>
        <color theme="1"/>
        <rFont val="Calibri"/>
        <family val="2"/>
        <scheme val="minor"/>
      </rPr>
      <t>3</t>
    </r>
    <r>
      <rPr>
        <b/>
        <sz val="11"/>
        <color theme="1"/>
        <rFont val="Calibri"/>
        <family val="2"/>
        <scheme val="minor"/>
      </rPr>
      <t xml:space="preserve"> mol Si</t>
    </r>
  </si>
  <si>
    <t>Tracked calculations for Table 1.</t>
  </si>
  <si>
    <r>
      <rPr>
        <b/>
        <sz val="11"/>
        <color theme="1"/>
        <rFont val="Calibri"/>
        <family val="2"/>
        <scheme val="minor"/>
      </rPr>
      <t>9.Z.marina_Si_stock-Bay_Brest</t>
    </r>
    <r>
      <rPr>
        <sz val="11"/>
        <color theme="1"/>
        <rFont val="Calibri"/>
        <family val="2"/>
        <scheme val="minor"/>
      </rPr>
      <t>, containing the tracked calculations for Table 1</t>
    </r>
  </si>
  <si>
    <t>Error propagation</t>
  </si>
  <si>
    <t>AVRG-SD</t>
  </si>
  <si>
    <t>AVRG+SD</t>
  </si>
  <si>
    <r>
      <t xml:space="preserve">Chemical determination of silica in seagrass leaves reveals two operational silica pools in </t>
    </r>
    <r>
      <rPr>
        <i/>
        <sz val="16"/>
        <color theme="1"/>
        <rFont val="Calibri"/>
        <family val="2"/>
        <scheme val="minor"/>
      </rPr>
      <t>Zostera marina</t>
    </r>
  </si>
  <si>
    <r>
      <t>Justine Roth</t>
    </r>
    <r>
      <rPr>
        <vertAlign val="superscript"/>
        <sz val="11"/>
        <color theme="1"/>
        <rFont val="Arial"/>
        <family val="2"/>
      </rPr>
      <t>1</t>
    </r>
    <r>
      <rPr>
        <sz val="11"/>
        <color theme="1"/>
        <rFont val="Arial"/>
        <family val="2"/>
      </rPr>
      <t>, Morgane Gallinari</t>
    </r>
    <r>
      <rPr>
        <vertAlign val="superscript"/>
        <sz val="11"/>
        <color theme="1"/>
        <rFont val="Arial"/>
        <family val="2"/>
      </rPr>
      <t>1</t>
    </r>
    <r>
      <rPr>
        <sz val="11"/>
        <color theme="1"/>
        <rFont val="Arial"/>
        <family val="2"/>
      </rPr>
      <t>, Jonas Schoelynck</t>
    </r>
    <r>
      <rPr>
        <vertAlign val="superscript"/>
        <sz val="11"/>
        <color theme="1"/>
        <rFont val="Arial"/>
        <family val="2"/>
      </rPr>
      <t>2</t>
    </r>
    <r>
      <rPr>
        <sz val="11"/>
        <color theme="1"/>
        <rFont val="Arial"/>
        <family val="2"/>
      </rPr>
      <t>, Gema Hernán</t>
    </r>
    <r>
      <rPr>
        <vertAlign val="superscript"/>
        <sz val="11"/>
        <color theme="1"/>
        <rFont val="Arial"/>
        <family val="2"/>
      </rPr>
      <t>3</t>
    </r>
    <r>
      <rPr>
        <sz val="11"/>
        <color theme="1"/>
        <rFont val="Arial"/>
        <family val="2"/>
      </rPr>
      <t>, Julia Máñez-Crespo</t>
    </r>
    <r>
      <rPr>
        <vertAlign val="superscript"/>
        <sz val="11"/>
        <color theme="1"/>
        <rFont val="Arial"/>
        <family val="2"/>
      </rPr>
      <t>4</t>
    </r>
    <r>
      <rPr>
        <sz val="11"/>
        <color theme="1"/>
        <rFont val="Arial"/>
        <family val="2"/>
      </rPr>
      <t>, Aurora M. Ricart</t>
    </r>
    <r>
      <rPr>
        <vertAlign val="superscript"/>
        <sz val="11"/>
        <color theme="1"/>
        <rFont val="Arial"/>
        <family val="2"/>
      </rPr>
      <t>5,6</t>
    </r>
    <r>
      <rPr>
        <sz val="11"/>
        <color theme="1"/>
        <rFont val="Arial"/>
        <family val="2"/>
      </rPr>
      <t>, María López-Acosta</t>
    </r>
    <r>
      <rPr>
        <vertAlign val="superscript"/>
        <sz val="11"/>
        <color theme="1"/>
        <rFont val="Arial"/>
        <family val="2"/>
      </rPr>
      <t>1,7</t>
    </r>
    <r>
      <rPr>
        <sz val="11"/>
        <color theme="1"/>
        <rFont val="Arial"/>
        <family val="2"/>
      </rPr>
      <t>*</t>
    </r>
  </si>
  <si>
    <t>This file contains 9 sheets with the following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</si>
</sst>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9" x14ac:knownFonts="1">
    <font>
      <sz val="11"/>
      <color theme="1"/>
      <name val="Calibri"/>
      <family val="2"/>
      <scheme val="minor"/>
    </font>
    <font>
      <b/>
      <sz val="11"/>
      <color theme="1"/>
      <name val="Calibri"/>
      <family val="2"/>
      <scheme val="minor"/>
    </font>
    <font>
      <sz val="11"/>
      <color theme="1"/>
      <name val="Arial"/>
      <family val="2"/>
    </font>
    <font>
      <sz val="12"/>
      <color theme="1"/>
      <name val="Calibri"/>
      <family val="2"/>
      <scheme val="minor"/>
    </font>
    <font>
      <b/>
      <sz val="14"/>
      <color theme="1"/>
      <name val="Calibri"/>
      <family val="2"/>
      <scheme val="minor"/>
    </font>
    <font>
      <b/>
      <sz val="10"/>
      <color theme="1"/>
      <name val="Calibri"/>
      <family val="2"/>
      <scheme val="minor"/>
    </font>
    <font>
      <b/>
      <sz val="11"/>
      <color theme="1"/>
      <name val="Arial"/>
      <family val="2"/>
    </font>
    <font>
      <sz val="20"/>
      <color theme="1"/>
      <name val="Calibri"/>
      <family val="2"/>
      <scheme val="minor"/>
    </font>
    <font>
      <sz val="16"/>
      <color theme="1"/>
      <name val="Calibri"/>
      <family val="2"/>
      <scheme val="minor"/>
    </font>
    <font>
      <vertAlign val="superscript"/>
      <sz val="11"/>
      <color theme="1"/>
      <name val="Arial"/>
      <family val="2"/>
    </font>
    <font>
      <vertAlign val="superscript"/>
      <sz val="11"/>
      <color rgb="FF000000"/>
      <name val="Arial"/>
      <family val="2"/>
    </font>
    <font>
      <sz val="11"/>
      <color rgb="FF000000"/>
      <name val="Arial"/>
      <family val="2"/>
    </font>
    <font>
      <i/>
      <sz val="11"/>
      <color theme="1"/>
      <name val="Calibri"/>
      <family val="2"/>
      <scheme val="minor"/>
    </font>
    <font>
      <sz val="9"/>
      <color indexed="81"/>
      <name val="Tahoma"/>
      <family val="2"/>
    </font>
    <font>
      <b/>
      <sz val="9"/>
      <color indexed="81"/>
      <name val="Tahoma"/>
      <family val="2"/>
    </font>
    <font>
      <i/>
      <sz val="16"/>
      <color theme="1"/>
      <name val="Calibri"/>
      <family val="2"/>
      <scheme val="minor"/>
    </font>
    <font>
      <b/>
      <vertAlign val="superscript"/>
      <sz val="11"/>
      <color theme="1"/>
      <name val="Calibri"/>
      <family val="2"/>
      <scheme val="minor"/>
    </font>
    <font>
      <b/>
      <i/>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
      <patternFill patternType="solid">
        <fgColor theme="3" tint="0.79998168889431442"/>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cellStyleXfs>
  <cellXfs count="148">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0" borderId="4" xfId="0" applyBorder="1"/>
    <xf numFmtId="0" fontId="0" fillId="0" borderId="5" xfId="0" applyBorder="1"/>
    <xf numFmtId="0" fontId="0" fillId="0" borderId="8" xfId="0" applyBorder="1"/>
    <xf numFmtId="0" fontId="0" fillId="0" borderId="7" xfId="0" applyBorder="1"/>
    <xf numFmtId="0" fontId="0" fillId="0" borderId="10" xfId="0" applyBorder="1"/>
    <xf numFmtId="0" fontId="0" fillId="0" borderId="1" xfId="0" applyBorder="1" applyAlignment="1">
      <alignment horizontal="center" vertical="center"/>
    </xf>
    <xf numFmtId="0" fontId="0" fillId="0" borderId="11" xfId="0" applyBorder="1"/>
    <xf numFmtId="0" fontId="0" fillId="0" borderId="13" xfId="0" applyBorder="1"/>
    <xf numFmtId="0" fontId="3" fillId="2" borderId="2" xfId="0" applyFont="1" applyFill="1" applyBorder="1" applyAlignment="1">
      <alignment vertical="center"/>
    </xf>
    <xf numFmtId="0" fontId="3" fillId="2" borderId="3" xfId="0" applyFont="1" applyFill="1" applyBorder="1" applyAlignment="1">
      <alignment vertical="center"/>
    </xf>
    <xf numFmtId="0" fontId="3" fillId="0" borderId="0" xfId="0" applyFont="1" applyAlignment="1">
      <alignment vertical="center"/>
    </xf>
    <xf numFmtId="0" fontId="3" fillId="2" borderId="1" xfId="0" applyFont="1" applyFill="1" applyBorder="1" applyAlignment="1">
      <alignment vertical="center"/>
    </xf>
    <xf numFmtId="0" fontId="3" fillId="2" borderId="11" xfId="0" applyFont="1" applyFill="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164" fontId="3" fillId="0" borderId="2" xfId="0" applyNumberFormat="1" applyFont="1" applyBorder="1" applyAlignment="1">
      <alignment vertical="center"/>
    </xf>
    <xf numFmtId="164" fontId="3" fillId="0" borderId="0" xfId="0" applyNumberFormat="1" applyFont="1" applyAlignment="1">
      <alignment vertical="center"/>
    </xf>
    <xf numFmtId="164" fontId="3" fillId="0" borderId="8" xfId="0" applyNumberFormat="1" applyFont="1" applyBorder="1" applyAlignment="1">
      <alignment vertical="center"/>
    </xf>
    <xf numFmtId="0" fontId="3" fillId="0" borderId="6" xfId="0" applyFont="1" applyBorder="1" applyAlignment="1">
      <alignment vertical="center"/>
    </xf>
    <xf numFmtId="0" fontId="3" fillId="0" borderId="12" xfId="0" applyFont="1" applyBorder="1" applyAlignment="1">
      <alignment vertical="center"/>
    </xf>
    <xf numFmtId="0" fontId="0" fillId="0" borderId="11" xfId="0"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5" fillId="0" borderId="20" xfId="0" applyFont="1" applyBorder="1" applyAlignment="1">
      <alignment horizontal="center" vertical="center"/>
    </xf>
    <xf numFmtId="0" fontId="1" fillId="0" borderId="21" xfId="0" applyFont="1"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center" vertical="center"/>
    </xf>
    <xf numFmtId="20" fontId="0" fillId="0" borderId="24" xfId="0" applyNumberFormat="1" applyBorder="1" applyAlignment="1">
      <alignment horizontal="center" vertical="center"/>
    </xf>
    <xf numFmtId="0" fontId="0" fillId="0" borderId="13" xfId="0" applyBorder="1" applyAlignment="1">
      <alignment horizontal="center" vertical="center"/>
    </xf>
    <xf numFmtId="164" fontId="0" fillId="0" borderId="13" xfId="0" applyNumberFormat="1" applyBorder="1" applyAlignment="1">
      <alignment horizontal="center" vertical="center"/>
    </xf>
    <xf numFmtId="0" fontId="0" fillId="0" borderId="25" xfId="0" applyBorder="1" applyAlignment="1">
      <alignment horizontal="center" vertical="center"/>
    </xf>
    <xf numFmtId="20" fontId="0" fillId="0" borderId="26" xfId="0" applyNumberFormat="1" applyBorder="1" applyAlignment="1">
      <alignment horizontal="center" vertical="center"/>
    </xf>
    <xf numFmtId="0" fontId="0" fillId="0" borderId="26" xfId="0" applyBorder="1" applyAlignment="1">
      <alignment horizontal="center" vertical="center"/>
    </xf>
    <xf numFmtId="20" fontId="0" fillId="0" borderId="27" xfId="0" applyNumberFormat="1" applyBorder="1" applyAlignment="1">
      <alignment horizontal="center" vertical="center"/>
    </xf>
    <xf numFmtId="0" fontId="0" fillId="0" borderId="6" xfId="0" applyBorder="1" applyAlignment="1">
      <alignment horizontal="center" vertical="center"/>
    </xf>
    <xf numFmtId="164" fontId="0" fillId="0" borderId="6" xfId="0" applyNumberForma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left" vertical="center"/>
    </xf>
    <xf numFmtId="164" fontId="0" fillId="0" borderId="30" xfId="0" applyNumberFormat="1" applyBorder="1" applyAlignment="1">
      <alignment horizontal="center" vertical="center"/>
    </xf>
    <xf numFmtId="0" fontId="0" fillId="0" borderId="31" xfId="0" applyBorder="1" applyAlignment="1">
      <alignment horizontal="center" vertical="center"/>
    </xf>
    <xf numFmtId="20" fontId="0" fillId="0" borderId="32" xfId="0" applyNumberFormat="1" applyBorder="1" applyAlignment="1">
      <alignment horizontal="center" vertical="center"/>
    </xf>
    <xf numFmtId="20" fontId="0" fillId="0" borderId="23" xfId="0" applyNumberFormat="1" applyBorder="1" applyAlignment="1">
      <alignment horizontal="center" vertical="center"/>
    </xf>
    <xf numFmtId="0" fontId="0" fillId="0" borderId="33" xfId="0" applyBorder="1" applyAlignment="1">
      <alignment horizontal="center" vertical="center"/>
    </xf>
    <xf numFmtId="0" fontId="0" fillId="0" borderId="30" xfId="0" applyBorder="1" applyAlignment="1">
      <alignment horizontal="center" vertical="center"/>
    </xf>
    <xf numFmtId="20" fontId="0" fillId="0" borderId="24" xfId="0" applyNumberFormat="1" applyBorder="1"/>
    <xf numFmtId="0" fontId="0" fillId="0" borderId="25" xfId="0" applyBorder="1"/>
    <xf numFmtId="20" fontId="0" fillId="0" borderId="27" xfId="0" applyNumberFormat="1" applyBorder="1"/>
    <xf numFmtId="0" fontId="0" fillId="0" borderId="6" xfId="0" applyBorder="1"/>
    <xf numFmtId="0" fontId="0" fillId="0" borderId="28" xfId="0" applyBorder="1"/>
    <xf numFmtId="0" fontId="0" fillId="0" borderId="30" xfId="0" applyBorder="1"/>
    <xf numFmtId="0" fontId="0" fillId="0" borderId="31" xfId="0" applyBorder="1"/>
    <xf numFmtId="20" fontId="0" fillId="0" borderId="32" xfId="0" applyNumberFormat="1" applyBorder="1"/>
    <xf numFmtId="0" fontId="6" fillId="0" borderId="0" xfId="0" applyFont="1" applyAlignment="1">
      <alignment horizontal="center"/>
    </xf>
    <xf numFmtId="0" fontId="6" fillId="0" borderId="0" xfId="0" applyFont="1"/>
    <xf numFmtId="0" fontId="2" fillId="0" borderId="0" xfId="0" applyFont="1"/>
    <xf numFmtId="0" fontId="2" fillId="3" borderId="0" xfId="0" applyFont="1" applyFill="1"/>
    <xf numFmtId="2" fontId="3" fillId="0" borderId="0" xfId="0" applyNumberFormat="1" applyFont="1" applyAlignment="1">
      <alignment vertical="center"/>
    </xf>
    <xf numFmtId="2" fontId="3" fillId="0" borderId="11" xfId="0" applyNumberFormat="1" applyFont="1" applyBorder="1" applyAlignment="1">
      <alignment vertical="center"/>
    </xf>
    <xf numFmtId="2" fontId="3" fillId="0" borderId="12" xfId="0" applyNumberFormat="1" applyFont="1" applyBorder="1" applyAlignment="1">
      <alignment vertical="center"/>
    </xf>
    <xf numFmtId="2" fontId="3" fillId="0" borderId="6" xfId="0" applyNumberFormat="1" applyFont="1" applyBorder="1" applyAlignment="1">
      <alignment vertical="center"/>
    </xf>
    <xf numFmtId="2" fontId="3" fillId="0" borderId="13" xfId="0" applyNumberFormat="1" applyFont="1" applyBorder="1" applyAlignment="1">
      <alignment vertical="center"/>
    </xf>
    <xf numFmtId="2" fontId="3" fillId="0" borderId="1" xfId="0" applyNumberFormat="1" applyFont="1" applyBorder="1" applyAlignment="1">
      <alignment vertical="center"/>
    </xf>
    <xf numFmtId="0" fontId="7" fillId="0" borderId="0" xfId="0" applyFont="1"/>
    <xf numFmtId="0" fontId="8" fillId="0" borderId="0" xfId="0" applyFont="1"/>
    <xf numFmtId="0" fontId="2"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horizontal="left"/>
    </xf>
    <xf numFmtId="2" fontId="0" fillId="0" borderId="0" xfId="0" applyNumberFormat="1"/>
    <xf numFmtId="0" fontId="0" fillId="0" borderId="12" xfId="0" applyBorder="1"/>
    <xf numFmtId="0" fontId="0" fillId="0" borderId="1" xfId="0" applyBorder="1"/>
    <xf numFmtId="0" fontId="0" fillId="0" borderId="2" xfId="0" applyBorder="1"/>
    <xf numFmtId="0" fontId="0" fillId="0" borderId="3" xfId="0" applyBorder="1"/>
    <xf numFmtId="0" fontId="0" fillId="0" borderId="0" xfId="0" applyBorder="1"/>
    <xf numFmtId="0" fontId="1" fillId="0" borderId="0" xfId="0" applyFont="1"/>
    <xf numFmtId="0" fontId="1" fillId="0" borderId="11" xfId="0" applyFont="1" applyBorder="1"/>
    <xf numFmtId="0" fontId="1" fillId="0" borderId="1" xfId="0" applyFont="1" applyBorder="1"/>
    <xf numFmtId="0" fontId="1" fillId="0" borderId="3" xfId="0" applyFont="1" applyBorder="1"/>
    <xf numFmtId="0" fontId="1" fillId="0" borderId="2" xfId="0" applyFont="1" applyBorder="1"/>
    <xf numFmtId="0" fontId="0" fillId="4" borderId="34" xfId="0" applyFill="1" applyBorder="1"/>
    <xf numFmtId="0" fontId="0" fillId="4" borderId="6" xfId="0" applyFill="1" applyBorder="1"/>
    <xf numFmtId="0" fontId="0" fillId="4" borderId="9" xfId="0" applyFill="1" applyBorder="1"/>
    <xf numFmtId="0" fontId="0" fillId="4" borderId="11" xfId="0" applyFill="1" applyBorder="1"/>
    <xf numFmtId="11" fontId="0" fillId="0" borderId="12" xfId="0" applyNumberFormat="1" applyBorder="1"/>
    <xf numFmtId="11" fontId="0" fillId="0" borderId="13" xfId="0" applyNumberFormat="1" applyBorder="1"/>
    <xf numFmtId="164" fontId="0" fillId="0" borderId="12" xfId="0" applyNumberFormat="1" applyBorder="1"/>
    <xf numFmtId="164" fontId="0" fillId="0" borderId="13" xfId="0" applyNumberFormat="1" applyBorder="1"/>
    <xf numFmtId="164" fontId="0" fillId="0" borderId="0" xfId="0" applyNumberFormat="1"/>
    <xf numFmtId="0" fontId="0" fillId="0" borderId="0" xfId="0" applyAlignment="1">
      <alignment horizontal="center"/>
    </xf>
    <xf numFmtId="164" fontId="0" fillId="0" borderId="5" xfId="0" applyNumberFormat="1" applyBorder="1"/>
    <xf numFmtId="164" fontId="0" fillId="0" borderId="10" xfId="0" applyNumberFormat="1" applyBorder="1"/>
    <xf numFmtId="165" fontId="0" fillId="0" borderId="5" xfId="0" applyNumberFormat="1" applyBorder="1"/>
    <xf numFmtId="165" fontId="0" fillId="0" borderId="10" xfId="0" applyNumberFormat="1" applyBorder="1"/>
    <xf numFmtId="2" fontId="0" fillId="0" borderId="12" xfId="0" applyNumberFormat="1" applyBorder="1"/>
    <xf numFmtId="2" fontId="0" fillId="0" borderId="13" xfId="0" applyNumberFormat="1" applyBorder="1"/>
    <xf numFmtId="0" fontId="1" fillId="0" borderId="0" xfId="0" applyFont="1" applyAlignment="1">
      <alignment horizontal="center"/>
    </xf>
    <xf numFmtId="2" fontId="18" fillId="0" borderId="0" xfId="0" applyNumberFormat="1" applyFont="1"/>
    <xf numFmtId="0" fontId="1" fillId="0" borderId="0" xfId="0" applyFont="1" applyAlignment="1">
      <alignment horizontal="left"/>
    </xf>
    <xf numFmtId="2" fontId="0" fillId="0" borderId="0" xfId="0" applyNumberFormat="1" applyAlignment="1">
      <alignment horizontal="left"/>
    </xf>
    <xf numFmtId="0" fontId="1" fillId="0" borderId="0" xfId="0" applyFont="1" applyBorder="1" applyAlignment="1">
      <alignment horizontal="center"/>
    </xf>
    <xf numFmtId="0" fontId="1" fillId="0" borderId="5" xfId="0" applyFont="1" applyBorder="1" applyAlignment="1">
      <alignment horizontal="center"/>
    </xf>
    <xf numFmtId="2" fontId="0" fillId="0" borderId="0" xfId="0" applyNumberFormat="1" applyBorder="1"/>
    <xf numFmtId="2" fontId="0" fillId="0" borderId="5" xfId="0" applyNumberFormat="1" applyBorder="1"/>
    <xf numFmtId="0" fontId="1" fillId="0" borderId="4" xfId="0" applyFont="1" applyBorder="1" applyAlignment="1">
      <alignment horizontal="center"/>
    </xf>
    <xf numFmtId="2" fontId="0" fillId="0" borderId="4" xfId="0" applyNumberFormat="1" applyBorder="1"/>
    <xf numFmtId="2" fontId="0" fillId="0" borderId="8" xfId="0" applyNumberFormat="1" applyBorder="1"/>
    <xf numFmtId="2" fontId="0" fillId="0" borderId="10" xfId="0" applyNumberFormat="1" applyBorder="1"/>
    <xf numFmtId="2" fontId="0" fillId="0" borderId="7" xfId="0" applyNumberFormat="1" applyBorder="1"/>
    <xf numFmtId="0" fontId="1" fillId="0" borderId="0" xfId="0" applyFont="1" applyFill="1" applyBorder="1" applyAlignment="1">
      <alignment horizontal="center"/>
    </xf>
    <xf numFmtId="2" fontId="18" fillId="0" borderId="5" xfId="0" applyNumberFormat="1" applyFont="1" applyBorder="1"/>
    <xf numFmtId="2" fontId="18" fillId="0" borderId="0" xfId="0" applyNumberFormat="1" applyFont="1" applyBorder="1"/>
    <xf numFmtId="0" fontId="1" fillId="0" borderId="35" xfId="0" applyFont="1" applyFill="1" applyBorder="1" applyAlignment="1">
      <alignment horizontal="center"/>
    </xf>
    <xf numFmtId="0" fontId="1" fillId="0" borderId="37" xfId="0" applyFont="1" applyBorder="1" applyAlignment="1">
      <alignment horizontal="center"/>
    </xf>
    <xf numFmtId="2" fontId="0" fillId="0" borderId="35" xfId="0" applyNumberFormat="1" applyBorder="1"/>
    <xf numFmtId="2" fontId="0" fillId="0" borderId="36" xfId="0" applyNumberFormat="1" applyBorder="1"/>
    <xf numFmtId="2" fontId="0" fillId="0" borderId="38" xfId="0" applyNumberFormat="1" applyBorder="1"/>
    <xf numFmtId="2" fontId="0" fillId="0" borderId="39" xfId="0" applyNumberFormat="1" applyBorder="1"/>
    <xf numFmtId="2" fontId="18" fillId="0" borderId="35" xfId="0" applyNumberFormat="1" applyFont="1" applyBorder="1"/>
    <xf numFmtId="2" fontId="18" fillId="0" borderId="36" xfId="0" applyNumberFormat="1" applyFont="1" applyBorder="1"/>
    <xf numFmtId="165" fontId="0" fillId="0" borderId="0" xfId="0" applyNumberFormat="1"/>
    <xf numFmtId="165" fontId="18" fillId="0" borderId="0" xfId="0" applyNumberFormat="1" applyFont="1"/>
    <xf numFmtId="2" fontId="0" fillId="0" borderId="0" xfId="0" applyNumberFormat="1" applyFill="1"/>
    <xf numFmtId="2" fontId="0" fillId="0" borderId="0" xfId="0" applyNumberFormat="1" applyFill="1" applyAlignment="1">
      <alignment horizontal="left"/>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0" fillId="0" borderId="2" xfId="0" applyBorder="1" applyAlignment="1">
      <alignment horizont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0" fillId="4" borderId="4" xfId="0" applyFill="1" applyBorder="1" applyAlignment="1">
      <alignment horizontal="center"/>
    </xf>
    <xf numFmtId="0" fontId="0" fillId="4" borderId="0" xfId="0" applyFill="1" applyBorder="1" applyAlignment="1">
      <alignment horizontal="center"/>
    </xf>
    <xf numFmtId="0" fontId="0" fillId="0" borderId="0" xfId="0" applyAlignment="1">
      <alignment horizontal="center" wrapText="1"/>
    </xf>
    <xf numFmtId="0" fontId="1" fillId="0" borderId="0" xfId="0" applyFont="1" applyAlignment="1">
      <alignment horizontal="center"/>
    </xf>
    <xf numFmtId="0" fontId="1" fillId="0" borderId="35" xfId="0" applyFont="1" applyBorder="1" applyAlignment="1">
      <alignment horizontal="center"/>
    </xf>
    <xf numFmtId="0" fontId="1" fillId="0" borderId="36"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1" fillId="0" borderId="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Calibration curve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scatterChart>
        <c:scatterStyle val="smoothMarker"/>
        <c:varyColors val="0"/>
        <c:ser>
          <c:idx val="0"/>
          <c:order val="0"/>
          <c:tx>
            <c:v>Début de journée</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trendlineLbl>
          </c:trendline>
          <c:xVal>
            <c:numLit>
              <c:formatCode>General</c:formatCode>
              <c:ptCount val="9"/>
              <c:pt idx="0">
                <c:v>3.4390000000000001</c:v>
              </c:pt>
              <c:pt idx="1">
                <c:v>5.859</c:v>
              </c:pt>
              <c:pt idx="2">
                <c:v>8.2289999999999992</c:v>
              </c:pt>
              <c:pt idx="3">
                <c:v>13.153</c:v>
              </c:pt>
              <c:pt idx="4">
                <c:v>23.606000000000002</c:v>
              </c:pt>
              <c:pt idx="5">
                <c:v>33.503999999999998</c:v>
              </c:pt>
              <c:pt idx="6">
                <c:v>53.015999999999998</c:v>
              </c:pt>
              <c:pt idx="7">
                <c:v>63.447000000000003</c:v>
              </c:pt>
              <c:pt idx="8">
                <c:v>78.400999999999996</c:v>
              </c:pt>
            </c:numLit>
          </c:xVal>
          <c:yVal>
            <c:numLit>
              <c:formatCode>General</c:formatCode>
              <c:ptCount val="9"/>
              <c:pt idx="0">
                <c:v>7555</c:v>
              </c:pt>
              <c:pt idx="1">
                <c:v>9175</c:v>
              </c:pt>
              <c:pt idx="2">
                <c:v>10762</c:v>
              </c:pt>
              <c:pt idx="3">
                <c:v>14059</c:v>
              </c:pt>
              <c:pt idx="4">
                <c:v>21058</c:v>
              </c:pt>
              <c:pt idx="5">
                <c:v>27686</c:v>
              </c:pt>
              <c:pt idx="6">
                <c:v>40751</c:v>
              </c:pt>
              <c:pt idx="7">
                <c:v>47735</c:v>
              </c:pt>
              <c:pt idx="8">
                <c:v>57748</c:v>
              </c:pt>
            </c:numLit>
          </c:yVal>
          <c:smooth val="1"/>
          <c:extLst>
            <c:ext xmlns:c16="http://schemas.microsoft.com/office/drawing/2014/chart" uri="{C3380CC4-5D6E-409C-BE32-E72D297353CC}">
              <c16:uniqueId val="{00000001-81F4-491B-B220-0E7C8C49B1BA}"/>
            </c:ext>
          </c:extLst>
        </c:ser>
        <c:dLbls>
          <c:showLegendKey val="0"/>
          <c:showVal val="0"/>
          <c:showCatName val="0"/>
          <c:showSerName val="0"/>
          <c:showPercent val="0"/>
          <c:showBubbleSize val="0"/>
        </c:dLbls>
        <c:axId val="723804896"/>
        <c:axId val="723805312"/>
      </c:scatterChart>
      <c:valAx>
        <c:axId val="7238048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23805312"/>
        <c:crosses val="autoZero"/>
        <c:crossBetween val="midCat"/>
      </c:valAx>
      <c:valAx>
        <c:axId val="7238053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2380489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Calibration curve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scatterChart>
        <c:scatterStyle val="lineMarker"/>
        <c:varyColors val="0"/>
        <c:ser>
          <c:idx val="0"/>
          <c:order val="0"/>
          <c:tx>
            <c:v>Debut de journée </c:v>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xVal>
            <c:numLit>
              <c:formatCode>General</c:formatCode>
              <c:ptCount val="6"/>
              <c:pt idx="0">
                <c:v>0.193</c:v>
              </c:pt>
              <c:pt idx="1">
                <c:v>5.12</c:v>
              </c:pt>
              <c:pt idx="2">
                <c:v>10.315</c:v>
              </c:pt>
              <c:pt idx="3">
                <c:v>20.364000000000001</c:v>
              </c:pt>
              <c:pt idx="4">
                <c:v>30.731000000000002</c:v>
              </c:pt>
              <c:pt idx="5">
                <c:v>50.002000000000002</c:v>
              </c:pt>
            </c:numLit>
          </c:xVal>
          <c:yVal>
            <c:numLit>
              <c:formatCode>General</c:formatCode>
              <c:ptCount val="6"/>
              <c:pt idx="0">
                <c:v>5486</c:v>
              </c:pt>
              <c:pt idx="1">
                <c:v>10691</c:v>
              </c:pt>
              <c:pt idx="2">
                <c:v>16179</c:v>
              </c:pt>
              <c:pt idx="3">
                <c:v>26795</c:v>
              </c:pt>
              <c:pt idx="4">
                <c:v>37747</c:v>
              </c:pt>
              <c:pt idx="5">
                <c:v>58106</c:v>
              </c:pt>
            </c:numLit>
          </c:yVal>
          <c:smooth val="0"/>
          <c:extLst>
            <c:ext xmlns:c16="http://schemas.microsoft.com/office/drawing/2014/chart" uri="{C3380CC4-5D6E-409C-BE32-E72D297353CC}">
              <c16:uniqueId val="{00000000-9B63-4291-8E74-440C355992CC}"/>
            </c:ext>
          </c:extLst>
        </c:ser>
        <c:ser>
          <c:idx val="1"/>
          <c:order val="1"/>
          <c:tx>
            <c:v>Fin de journée </c:v>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1"/>
            <c:dispEq val="1"/>
            <c:trendlineLbl>
              <c:layout>
                <c:manualLayout>
                  <c:x val="-0.30129680664916886"/>
                  <c:y val="3.9536672499270925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trendlineLbl>
          </c:trendline>
          <c:xVal>
            <c:numLit>
              <c:formatCode>General</c:formatCode>
              <c:ptCount val="6"/>
              <c:pt idx="0">
                <c:v>0.193</c:v>
              </c:pt>
              <c:pt idx="1">
                <c:v>5.12</c:v>
              </c:pt>
              <c:pt idx="2">
                <c:v>10.315</c:v>
              </c:pt>
              <c:pt idx="3">
                <c:v>20.364000000000001</c:v>
              </c:pt>
              <c:pt idx="4">
                <c:v>30.731000000000002</c:v>
              </c:pt>
              <c:pt idx="5">
                <c:v>50.002000000000002</c:v>
              </c:pt>
            </c:numLit>
          </c:xVal>
          <c:yVal>
            <c:numLit>
              <c:formatCode>General</c:formatCode>
              <c:ptCount val="6"/>
              <c:pt idx="0">
                <c:v>5486</c:v>
              </c:pt>
              <c:pt idx="1">
                <c:v>10691</c:v>
              </c:pt>
              <c:pt idx="2">
                <c:v>16179</c:v>
              </c:pt>
              <c:pt idx="3">
                <c:v>26795</c:v>
              </c:pt>
              <c:pt idx="4">
                <c:v>37747</c:v>
              </c:pt>
              <c:pt idx="5">
                <c:v>58106</c:v>
              </c:pt>
            </c:numLit>
          </c:yVal>
          <c:smooth val="0"/>
          <c:extLst>
            <c:ext xmlns:c16="http://schemas.microsoft.com/office/drawing/2014/chart" uri="{C3380CC4-5D6E-409C-BE32-E72D297353CC}">
              <c16:uniqueId val="{00000001-9B63-4291-8E74-440C355992CC}"/>
            </c:ext>
          </c:extLst>
        </c:ser>
        <c:dLbls>
          <c:showLegendKey val="0"/>
          <c:showVal val="0"/>
          <c:showCatName val="0"/>
          <c:showSerName val="0"/>
          <c:showPercent val="0"/>
          <c:showBubbleSize val="0"/>
        </c:dLbls>
        <c:axId val="1006921696"/>
        <c:axId val="1006922112"/>
      </c:scatterChart>
      <c:valAx>
        <c:axId val="10069216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DSi concentration (</a:t>
                </a:r>
                <a:r>
                  <a:rPr lang="es-ES">
                    <a:latin typeface="Calibri" panose="020F0502020204030204" pitchFamily="34" charset="0"/>
                    <a:cs typeface="Calibri" panose="020F0502020204030204" pitchFamily="34" charset="0"/>
                  </a:rPr>
                  <a:t>µ</a:t>
                </a:r>
                <a:r>
                  <a:rPr lang="es-ES"/>
                  <a:t>M)</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06922112"/>
        <c:crosses val="autoZero"/>
        <c:crossBetween val="midCat"/>
      </c:valAx>
      <c:valAx>
        <c:axId val="100692211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AD value</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0692169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Calibration curve</a:t>
            </a:r>
          </a:p>
        </c:rich>
      </c:tx>
      <c:layout>
        <c:manualLayout>
          <c:xMode val="edge"/>
          <c:yMode val="edge"/>
          <c:x val="0.34317344706911634"/>
          <c:y val="4.6296296296296294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trendlineLbl>
          </c:trendline>
          <c:xVal>
            <c:numLit>
              <c:formatCode>General</c:formatCode>
              <c:ptCount val="9"/>
              <c:pt idx="0">
                <c:v>2.867</c:v>
              </c:pt>
              <c:pt idx="1">
                <c:v>5.2949999999999999</c:v>
              </c:pt>
              <c:pt idx="2">
                <c:v>7.7569999999999997</c:v>
              </c:pt>
              <c:pt idx="3">
                <c:v>12.762</c:v>
              </c:pt>
              <c:pt idx="4">
                <c:v>23.213000000000001</c:v>
              </c:pt>
              <c:pt idx="5">
                <c:v>33.076999999999998</c:v>
              </c:pt>
              <c:pt idx="6">
                <c:v>52.654000000000003</c:v>
              </c:pt>
              <c:pt idx="7">
                <c:v>62.951999999999998</c:v>
              </c:pt>
              <c:pt idx="8">
                <c:v>77.825999999999993</c:v>
              </c:pt>
            </c:numLit>
          </c:xVal>
          <c:yVal>
            <c:numLit>
              <c:formatCode>General</c:formatCode>
              <c:ptCount val="9"/>
              <c:pt idx="0">
                <c:v>7855</c:v>
              </c:pt>
              <c:pt idx="1">
                <c:v>9488</c:v>
              </c:pt>
              <c:pt idx="2">
                <c:v>11143</c:v>
              </c:pt>
              <c:pt idx="3">
                <c:v>14509</c:v>
              </c:pt>
              <c:pt idx="4">
                <c:v>21537</c:v>
              </c:pt>
              <c:pt idx="5">
                <c:v>28170</c:v>
              </c:pt>
              <c:pt idx="6">
                <c:v>41335</c:v>
              </c:pt>
              <c:pt idx="7">
                <c:v>48260</c:v>
              </c:pt>
              <c:pt idx="8">
                <c:v>58262</c:v>
              </c:pt>
            </c:numLit>
          </c:yVal>
          <c:smooth val="0"/>
          <c:extLst>
            <c:ext xmlns:c16="http://schemas.microsoft.com/office/drawing/2014/chart" uri="{C3380CC4-5D6E-409C-BE32-E72D297353CC}">
              <c16:uniqueId val="{00000001-09FE-4A65-9A22-9AA3974AC1C7}"/>
            </c:ext>
          </c:extLst>
        </c:ser>
        <c:dLbls>
          <c:showLegendKey val="0"/>
          <c:showVal val="0"/>
          <c:showCatName val="0"/>
          <c:showSerName val="0"/>
          <c:showPercent val="0"/>
          <c:showBubbleSize val="0"/>
        </c:dLbls>
        <c:axId val="719577439"/>
        <c:axId val="719578271"/>
      </c:scatterChart>
      <c:valAx>
        <c:axId val="71957743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19578271"/>
        <c:crosses val="autoZero"/>
        <c:crossBetween val="midCat"/>
      </c:valAx>
      <c:valAx>
        <c:axId val="7195782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19577439"/>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581025</xdr:colOff>
      <xdr:row>8</xdr:row>
      <xdr:rowOff>123825</xdr:rowOff>
    </xdr:from>
    <xdr:to>
      <xdr:col>13</xdr:col>
      <xdr:colOff>339725</xdr:colOff>
      <xdr:row>20</xdr:row>
      <xdr:rowOff>104775</xdr:rowOff>
    </xdr:to>
    <xdr:graphicFrame macro="">
      <xdr:nvGraphicFramePr>
        <xdr:cNvPr id="5" name="Graphique 4">
          <a:extLst>
            <a:ext uri="{FF2B5EF4-FFF2-40B4-BE49-F238E27FC236}">
              <a16:creationId xmlns:a16="http://schemas.microsoft.com/office/drawing/2014/main" id="{6D4D149E-812F-410F-8B5C-7F091B2DE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644525</xdr:colOff>
      <xdr:row>0</xdr:row>
      <xdr:rowOff>79375</xdr:rowOff>
    </xdr:from>
    <xdr:to>
      <xdr:col>14</xdr:col>
      <xdr:colOff>101600</xdr:colOff>
      <xdr:row>15</xdr:row>
      <xdr:rowOff>60325</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542925</xdr:colOff>
      <xdr:row>4</xdr:row>
      <xdr:rowOff>152400</xdr:rowOff>
    </xdr:from>
    <xdr:to>
      <xdr:col>15</xdr:col>
      <xdr:colOff>542925</xdr:colOff>
      <xdr:row>20</xdr:row>
      <xdr:rowOff>133350</xdr:rowOff>
    </xdr:to>
    <xdr:graphicFrame macro="">
      <xdr:nvGraphicFramePr>
        <xdr:cNvPr id="2" name="Graphique 1">
          <a:extLst>
            <a:ext uri="{FF2B5EF4-FFF2-40B4-BE49-F238E27FC236}">
              <a16:creationId xmlns:a16="http://schemas.microsoft.com/office/drawing/2014/main" id="{9E97CF00-654A-4677-8F62-E7BACA6E92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tabSelected="1" workbookViewId="0">
      <selection activeCell="L10" sqref="L10"/>
    </sheetView>
  </sheetViews>
  <sheetFormatPr baseColWidth="10" defaultRowHeight="14.5" x14ac:dyDescent="0.35"/>
  <sheetData>
    <row r="1" spans="1:1" ht="26" x14ac:dyDescent="0.6">
      <c r="A1" s="71" t="s">
        <v>174</v>
      </c>
    </row>
    <row r="2" spans="1:1" ht="21" x14ac:dyDescent="0.5">
      <c r="A2" s="72" t="s">
        <v>194</v>
      </c>
    </row>
    <row r="3" spans="1:1" ht="16.5" x14ac:dyDescent="0.35">
      <c r="A3" s="73" t="s">
        <v>195</v>
      </c>
    </row>
    <row r="4" spans="1:1" x14ac:dyDescent="0.35">
      <c r="A4" s="73" t="s">
        <v>108</v>
      </c>
    </row>
    <row r="5" spans="1:1" ht="16.5" x14ac:dyDescent="0.35">
      <c r="A5" s="73" t="s">
        <v>109</v>
      </c>
    </row>
    <row r="6" spans="1:1" ht="16.5" x14ac:dyDescent="0.35">
      <c r="A6" s="74" t="s">
        <v>110</v>
      </c>
    </row>
    <row r="7" spans="1:1" ht="16.5" x14ac:dyDescent="0.35">
      <c r="A7" s="75" t="s">
        <v>111</v>
      </c>
    </row>
    <row r="8" spans="1:1" ht="16.5" x14ac:dyDescent="0.35">
      <c r="A8" s="75" t="s">
        <v>112</v>
      </c>
    </row>
    <row r="9" spans="1:1" ht="16.5" x14ac:dyDescent="0.35">
      <c r="A9" s="74" t="s">
        <v>113</v>
      </c>
    </row>
    <row r="10" spans="1:1" ht="16.5" x14ac:dyDescent="0.35">
      <c r="A10" s="74" t="s">
        <v>114</v>
      </c>
    </row>
    <row r="11" spans="1:1" ht="16.5" x14ac:dyDescent="0.35">
      <c r="A11" s="74" t="s">
        <v>115</v>
      </c>
    </row>
    <row r="12" spans="1:1" x14ac:dyDescent="0.35">
      <c r="A12" s="73"/>
    </row>
    <row r="13" spans="1:1" x14ac:dyDescent="0.35">
      <c r="A13" s="73" t="s">
        <v>116</v>
      </c>
    </row>
    <row r="16" spans="1:1" x14ac:dyDescent="0.35">
      <c r="A16" t="s">
        <v>196</v>
      </c>
    </row>
    <row r="17" spans="1:1" x14ac:dyDescent="0.35">
      <c r="A17" t="s">
        <v>166</v>
      </c>
    </row>
    <row r="18" spans="1:1" x14ac:dyDescent="0.35">
      <c r="A18" t="s">
        <v>167</v>
      </c>
    </row>
    <row r="19" spans="1:1" x14ac:dyDescent="0.35">
      <c r="A19" t="s">
        <v>168</v>
      </c>
    </row>
    <row r="20" spans="1:1" x14ac:dyDescent="0.35">
      <c r="A20" t="s">
        <v>163</v>
      </c>
    </row>
    <row r="21" spans="1:1" x14ac:dyDescent="0.35">
      <c r="A21" t="s">
        <v>169</v>
      </c>
    </row>
    <row r="22" spans="1:1" x14ac:dyDescent="0.35">
      <c r="A22" t="s">
        <v>164</v>
      </c>
    </row>
    <row r="23" spans="1:1" x14ac:dyDescent="0.35">
      <c r="A23" s="83" t="s">
        <v>170</v>
      </c>
    </row>
    <row r="24" spans="1:1" x14ac:dyDescent="0.35">
      <c r="A24" t="s">
        <v>165</v>
      </c>
    </row>
    <row r="25" spans="1:1" x14ac:dyDescent="0.35">
      <c r="A25" t="s">
        <v>190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9"/>
  <sheetViews>
    <sheetView workbookViewId="0">
      <selection activeCell="F14" sqref="F14"/>
    </sheetView>
  </sheetViews>
  <sheetFormatPr baseColWidth="10" defaultRowHeight="14.5" x14ac:dyDescent="0.35"/>
  <cols>
    <col min="2" max="2" width="16.08984375" customWidth="1"/>
    <col min="3" max="3" width="16.6328125" customWidth="1"/>
    <col min="4" max="4" width="16.54296875" customWidth="1"/>
    <col min="5" max="5" width="9.1796875" customWidth="1"/>
    <col min="6" max="6" width="15.26953125" customWidth="1"/>
    <col min="7" max="7" width="8.7265625" customWidth="1"/>
    <col min="8" max="8" width="13.26953125" customWidth="1"/>
    <col min="9" max="9" width="7.453125" customWidth="1"/>
  </cols>
  <sheetData>
    <row r="1" spans="1:20" x14ac:dyDescent="0.35">
      <c r="A1" t="s">
        <v>189</v>
      </c>
      <c r="M1" s="83" t="s">
        <v>191</v>
      </c>
    </row>
    <row r="2" spans="1:20" x14ac:dyDescent="0.35">
      <c r="Q2" s="142" t="s">
        <v>186</v>
      </c>
      <c r="R2" s="142"/>
      <c r="S2" s="142"/>
      <c r="T2" s="142"/>
    </row>
    <row r="3" spans="1:20" ht="16.5" x14ac:dyDescent="0.35">
      <c r="B3" s="83" t="s">
        <v>175</v>
      </c>
      <c r="C3" s="104" t="s">
        <v>180</v>
      </c>
      <c r="D3" s="142" t="s">
        <v>176</v>
      </c>
      <c r="E3" s="142"/>
      <c r="F3" s="142" t="s">
        <v>181</v>
      </c>
      <c r="G3" s="142"/>
      <c r="H3" s="142" t="s">
        <v>186</v>
      </c>
      <c r="I3" s="142"/>
      <c r="J3" s="142"/>
      <c r="K3" s="142"/>
      <c r="M3" s="145" t="s">
        <v>176</v>
      </c>
      <c r="N3" s="146"/>
      <c r="O3" s="147" t="s">
        <v>181</v>
      </c>
      <c r="P3" s="146"/>
      <c r="Q3" s="143" t="s">
        <v>187</v>
      </c>
      <c r="R3" s="144"/>
      <c r="S3" s="145" t="s">
        <v>188</v>
      </c>
      <c r="T3" s="146"/>
    </row>
    <row r="4" spans="1:20" ht="16.5" x14ac:dyDescent="0.35">
      <c r="B4" s="83"/>
      <c r="C4" s="104" t="s">
        <v>182</v>
      </c>
      <c r="D4" s="104" t="s">
        <v>183</v>
      </c>
      <c r="E4" s="106" t="s">
        <v>42</v>
      </c>
      <c r="F4" s="104" t="s">
        <v>184</v>
      </c>
      <c r="G4" s="106" t="s">
        <v>42</v>
      </c>
      <c r="H4" s="104" t="s">
        <v>187</v>
      </c>
      <c r="I4" s="106" t="s">
        <v>42</v>
      </c>
      <c r="J4" s="104" t="s">
        <v>188</v>
      </c>
      <c r="K4" s="106" t="s">
        <v>42</v>
      </c>
      <c r="L4" s="106"/>
      <c r="M4" s="108" t="s">
        <v>192</v>
      </c>
      <c r="N4" s="109" t="s">
        <v>193</v>
      </c>
      <c r="O4" s="112" t="s">
        <v>192</v>
      </c>
      <c r="P4" s="109" t="s">
        <v>193</v>
      </c>
      <c r="Q4" s="120" t="s">
        <v>192</v>
      </c>
      <c r="R4" s="121" t="s">
        <v>193</v>
      </c>
      <c r="S4" s="117" t="s">
        <v>192</v>
      </c>
      <c r="T4" s="109" t="s">
        <v>193</v>
      </c>
    </row>
    <row r="5" spans="1:20" x14ac:dyDescent="0.35">
      <c r="B5" t="s">
        <v>177</v>
      </c>
      <c r="C5" s="105">
        <v>7.0000000000000007E-2</v>
      </c>
      <c r="D5" s="77">
        <v>46.99</v>
      </c>
      <c r="E5" s="107">
        <v>14.37</v>
      </c>
      <c r="F5" s="77">
        <f t="shared" ref="F5:G6" si="0">D5*0.0026</f>
        <v>0.122174</v>
      </c>
      <c r="G5" s="107">
        <f t="shared" si="0"/>
        <v>3.7361999999999999E-2</v>
      </c>
      <c r="H5" s="128">
        <f>F5*$C$5*10^6*10^-3</f>
        <v>8.5521800000000017</v>
      </c>
      <c r="I5" s="128">
        <f>G5*$C$5*10^6*10^-3</f>
        <v>2.6153400000000002</v>
      </c>
      <c r="J5" s="77">
        <f>H5/28.0855</f>
        <v>0.30450517170782082</v>
      </c>
      <c r="K5" s="77">
        <f>I5/28.0855</f>
        <v>9.312064944544339E-2</v>
      </c>
      <c r="M5" s="110">
        <f>D5-E5</f>
        <v>32.620000000000005</v>
      </c>
      <c r="N5" s="111">
        <f>D5+E5</f>
        <v>61.36</v>
      </c>
      <c r="O5" s="113">
        <f>F5-G5</f>
        <v>8.4811999999999999E-2</v>
      </c>
      <c r="P5" s="111">
        <f>F5+G5</f>
        <v>0.15953600000000001</v>
      </c>
      <c r="Q5" s="122">
        <f>H5-I5</f>
        <v>5.9368400000000019</v>
      </c>
      <c r="R5" s="123">
        <f>H5+I5</f>
        <v>11.167520000000001</v>
      </c>
      <c r="S5" s="110">
        <f>J5-K5</f>
        <v>0.21138452226237742</v>
      </c>
      <c r="T5" s="111">
        <f>J5+K5</f>
        <v>0.39762582115326423</v>
      </c>
    </row>
    <row r="6" spans="1:20" x14ac:dyDescent="0.35">
      <c r="B6" t="s">
        <v>178</v>
      </c>
      <c r="C6">
        <v>0.65</v>
      </c>
      <c r="D6" s="77">
        <v>70.37</v>
      </c>
      <c r="E6" s="107">
        <v>29.75</v>
      </c>
      <c r="F6" s="77">
        <f t="shared" si="0"/>
        <v>0.18296200000000001</v>
      </c>
      <c r="G6" s="107">
        <f t="shared" si="0"/>
        <v>7.7350000000000002E-2</v>
      </c>
      <c r="H6" s="128">
        <f>F6*$C$6*10^6*10^-3</f>
        <v>118.92530000000002</v>
      </c>
      <c r="I6" s="128">
        <f>G6*$C$6*10^6*10^-3</f>
        <v>50.277500000000003</v>
      </c>
      <c r="J6" s="77">
        <f t="shared" ref="J6:J7" si="1">H6/28.0855</f>
        <v>4.2344020936070219</v>
      </c>
      <c r="K6" s="77">
        <f t="shared" ref="K6:K7" si="2">I6/28.0855</f>
        <v>1.790158622776878</v>
      </c>
      <c r="M6" s="110">
        <f>D6-E6</f>
        <v>40.620000000000005</v>
      </c>
      <c r="N6" s="111">
        <f t="shared" ref="N6:N7" si="3">D6+E6</f>
        <v>100.12</v>
      </c>
      <c r="O6" s="113">
        <f t="shared" ref="O6:O7" si="4">F6-G6</f>
        <v>0.10561200000000001</v>
      </c>
      <c r="P6" s="111">
        <f t="shared" ref="P6:P7" si="5">F6+G6</f>
        <v>0.26031199999999999</v>
      </c>
      <c r="Q6" s="122">
        <f t="shared" ref="Q6" si="6">H6-I6</f>
        <v>68.647800000000018</v>
      </c>
      <c r="R6" s="123">
        <f t="shared" ref="R6:R7" si="7">H6+I6</f>
        <v>169.20280000000002</v>
      </c>
      <c r="S6" s="110">
        <f t="shared" ref="S6:S7" si="8">J6-K6</f>
        <v>2.4442434708301439</v>
      </c>
      <c r="T6" s="111">
        <f t="shared" ref="T6:T7" si="9">J6+K6</f>
        <v>6.0245607163838999</v>
      </c>
    </row>
    <row r="7" spans="1:20" x14ac:dyDescent="0.35">
      <c r="B7" t="s">
        <v>179</v>
      </c>
      <c r="C7" s="105">
        <v>0.23</v>
      </c>
      <c r="D7" s="77">
        <v>66.76464</v>
      </c>
      <c r="E7" s="107">
        <v>28.659271967602383</v>
      </c>
      <c r="F7" s="77">
        <f>D7*0.0026</f>
        <v>0.17358806399999999</v>
      </c>
      <c r="G7" s="107">
        <f>E7*0.0026</f>
        <v>7.4514107115766198E-2</v>
      </c>
      <c r="H7" s="128">
        <f>F7*$C$7*10^6*10^-3</f>
        <v>39.925254719999998</v>
      </c>
      <c r="I7" s="128">
        <f>G7*$C$7*10^6*10^-3</f>
        <v>17.138244636626226</v>
      </c>
      <c r="J7" s="77">
        <f t="shared" si="1"/>
        <v>1.4215611158783001</v>
      </c>
      <c r="K7" s="77">
        <f t="shared" si="2"/>
        <v>0.61021682493194807</v>
      </c>
      <c r="M7" s="114">
        <f>D7-E7</f>
        <v>38.105368032397621</v>
      </c>
      <c r="N7" s="115">
        <f t="shared" si="3"/>
        <v>95.423911967602379</v>
      </c>
      <c r="O7" s="116">
        <f t="shared" si="4"/>
        <v>9.9073956884233788E-2</v>
      </c>
      <c r="P7" s="115">
        <f t="shared" si="5"/>
        <v>0.24810217111576618</v>
      </c>
      <c r="Q7" s="124">
        <f>H7-I7</f>
        <v>22.787010083373772</v>
      </c>
      <c r="R7" s="125">
        <f t="shared" si="7"/>
        <v>57.063499356626224</v>
      </c>
      <c r="S7" s="114">
        <f t="shared" si="8"/>
        <v>0.81134429094635208</v>
      </c>
      <c r="T7" s="115">
        <f t="shared" si="9"/>
        <v>2.0317779408102483</v>
      </c>
    </row>
    <row r="8" spans="1:20" x14ac:dyDescent="0.35">
      <c r="B8" t="s">
        <v>185</v>
      </c>
      <c r="C8" s="77">
        <v>1</v>
      </c>
      <c r="D8" s="130">
        <f>(D5*$C$5)+(D6*$C$6)+(D7*$C$7)/SUM($C$5:$C$7)</f>
        <v>65.193870736842115</v>
      </c>
      <c r="E8" s="131">
        <f>STDEV(D8,M8:N8)</f>
        <v>27.281960581630074</v>
      </c>
      <c r="F8" s="77">
        <f>((F5*C5)+(F6*C6)+(F7*C7))/SUM(C5:C7)</f>
        <v>0.17621340496842106</v>
      </c>
      <c r="G8" s="107">
        <f>STDEV(F8,O8:P8)</f>
        <v>7.371693119644869E-2</v>
      </c>
      <c r="H8" s="129">
        <f>SUM(H5:H7)</f>
        <v>167.40273472000001</v>
      </c>
      <c r="I8" s="129">
        <f>STDEV(Q8:R8,H8)</f>
        <v>70.031084636626233</v>
      </c>
      <c r="J8" s="77">
        <f>H8/28.0855</f>
        <v>5.9604683811931425</v>
      </c>
      <c r="K8" s="77">
        <f>STDEV(J8,S8:T8)</f>
        <v>2.4934960971542708</v>
      </c>
      <c r="M8" s="110">
        <f>(M5*$C$5)+(M6*$C$6)+(M7*$C$7)/SUM($C$5:$C$7)</f>
        <v>37.911910155212055</v>
      </c>
      <c r="N8" s="111">
        <f>(N5*$C$5)+(N6*$C$6)+(N7*$C$7)/SUM($C$5:$C$7)</f>
        <v>92.47583131847216</v>
      </c>
      <c r="O8" s="113">
        <f>((O5*$C$5)+(O6*$C$6)+(O7*$C$7))/SUM($C$5:$C$7)</f>
        <v>0.10249647377197241</v>
      </c>
      <c r="P8" s="111">
        <f>((P5*$C$5)+(P6*$C$6)+(P7*$C$7))/SUM($C$5:$C$7)</f>
        <v>0.2499303361648697</v>
      </c>
      <c r="Q8" s="126">
        <f>SUM(Q5:Q7)</f>
        <v>97.371650083373794</v>
      </c>
      <c r="R8" s="127">
        <f>SUM(R5:R7)</f>
        <v>237.43381935662626</v>
      </c>
      <c r="S8" s="119">
        <f>SUM(S5:S7)</f>
        <v>3.4669722840388735</v>
      </c>
      <c r="T8" s="118">
        <f>SUM(T5:T7)</f>
        <v>8.4539644783474124</v>
      </c>
    </row>
    <row r="9" spans="1:20" x14ac:dyDescent="0.35">
      <c r="J9" s="77"/>
    </row>
  </sheetData>
  <mergeCells count="8">
    <mergeCell ref="D3:E3"/>
    <mergeCell ref="Q2:T2"/>
    <mergeCell ref="Q3:R3"/>
    <mergeCell ref="S3:T3"/>
    <mergeCell ref="M3:N3"/>
    <mergeCell ref="O3:P3"/>
    <mergeCell ref="H3:K3"/>
    <mergeCell ref="F3:G3"/>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B34" sqref="B34"/>
    </sheetView>
  </sheetViews>
  <sheetFormatPr baseColWidth="10" defaultRowHeight="14.5" x14ac:dyDescent="0.35"/>
  <cols>
    <col min="1" max="1" width="17.36328125" bestFit="1" customWidth="1"/>
    <col min="3" max="4" width="25.1796875" bestFit="1" customWidth="1"/>
    <col min="5" max="5" width="11.7265625" bestFit="1" customWidth="1"/>
    <col min="6" max="6" width="12" bestFit="1" customWidth="1"/>
    <col min="7" max="7" width="8.81640625" customWidth="1"/>
    <col min="11" max="11" width="25.1796875" bestFit="1" customWidth="1"/>
  </cols>
  <sheetData>
    <row r="1" spans="1:8" x14ac:dyDescent="0.35">
      <c r="A1" t="s">
        <v>0</v>
      </c>
      <c r="B1" t="s">
        <v>1</v>
      </c>
      <c r="C1" t="s">
        <v>2</v>
      </c>
      <c r="D1" s="1" t="s">
        <v>38</v>
      </c>
      <c r="E1" s="2" t="s">
        <v>39</v>
      </c>
      <c r="F1" s="2" t="s">
        <v>40</v>
      </c>
      <c r="G1" s="2" t="s">
        <v>41</v>
      </c>
      <c r="H1" s="3" t="s">
        <v>42</v>
      </c>
    </row>
    <row r="2" spans="1:8" x14ac:dyDescent="0.35">
      <c r="A2" t="s">
        <v>3</v>
      </c>
      <c r="B2">
        <v>78.91</v>
      </c>
      <c r="C2">
        <v>58089</v>
      </c>
    </row>
    <row r="3" spans="1:8" x14ac:dyDescent="0.35">
      <c r="A3" t="s">
        <v>4</v>
      </c>
      <c r="B3">
        <v>0.218</v>
      </c>
      <c r="C3">
        <v>5398</v>
      </c>
    </row>
    <row r="4" spans="1:8" x14ac:dyDescent="0.35">
      <c r="A4" t="s">
        <v>133</v>
      </c>
      <c r="B4">
        <v>3.4390000000000001</v>
      </c>
      <c r="C4">
        <v>7555</v>
      </c>
      <c r="D4">
        <f>(C4-5252.1)/669.58</f>
        <v>3.4393201708533701</v>
      </c>
    </row>
    <row r="5" spans="1:8" x14ac:dyDescent="0.35">
      <c r="A5" t="s">
        <v>134</v>
      </c>
      <c r="B5">
        <v>5.859</v>
      </c>
      <c r="C5">
        <v>9175</v>
      </c>
      <c r="D5">
        <f t="shared" ref="D5:D12" si="0">(C5-5252.1)/669.58</f>
        <v>5.858747274410824</v>
      </c>
    </row>
    <row r="6" spans="1:8" x14ac:dyDescent="0.35">
      <c r="A6" t="s">
        <v>5</v>
      </c>
      <c r="B6">
        <v>8.2289999999999992</v>
      </c>
      <c r="C6">
        <v>10762</v>
      </c>
      <c r="D6">
        <f t="shared" si="0"/>
        <v>8.2288897517846991</v>
      </c>
    </row>
    <row r="7" spans="1:8" x14ac:dyDescent="0.35">
      <c r="A7" t="s">
        <v>6</v>
      </c>
      <c r="B7">
        <v>13.153</v>
      </c>
      <c r="C7">
        <v>14059</v>
      </c>
      <c r="D7">
        <f t="shared" si="0"/>
        <v>13.152871949580332</v>
      </c>
    </row>
    <row r="8" spans="1:8" x14ac:dyDescent="0.35">
      <c r="A8" t="s">
        <v>7</v>
      </c>
      <c r="B8">
        <v>23.606000000000002</v>
      </c>
      <c r="C8">
        <v>21058</v>
      </c>
      <c r="D8">
        <f t="shared" si="0"/>
        <v>23.605693121060963</v>
      </c>
    </row>
    <row r="9" spans="1:8" x14ac:dyDescent="0.35">
      <c r="A9" t="s">
        <v>8</v>
      </c>
      <c r="B9">
        <v>33.503999999999998</v>
      </c>
      <c r="C9">
        <v>27686</v>
      </c>
      <c r="D9">
        <f t="shared" si="0"/>
        <v>33.504435616356524</v>
      </c>
    </row>
    <row r="10" spans="1:8" x14ac:dyDescent="0.35">
      <c r="A10" t="s">
        <v>9</v>
      </c>
      <c r="B10">
        <v>53.015999999999998</v>
      </c>
      <c r="C10">
        <v>40751</v>
      </c>
      <c r="D10">
        <f t="shared" si="0"/>
        <v>53.016667164491174</v>
      </c>
    </row>
    <row r="11" spans="1:8" x14ac:dyDescent="0.35">
      <c r="A11" t="s">
        <v>135</v>
      </c>
      <c r="B11">
        <v>63.447000000000003</v>
      </c>
      <c r="C11">
        <v>47735</v>
      </c>
      <c r="D11">
        <f t="shared" si="0"/>
        <v>63.447086233161087</v>
      </c>
    </row>
    <row r="12" spans="1:8" x14ac:dyDescent="0.35">
      <c r="A12" t="s">
        <v>136</v>
      </c>
      <c r="B12">
        <v>78.400999999999996</v>
      </c>
      <c r="C12">
        <v>57748</v>
      </c>
      <c r="D12">
        <f t="shared" si="0"/>
        <v>78.401236596075151</v>
      </c>
    </row>
    <row r="13" spans="1:8" x14ac:dyDescent="0.35">
      <c r="A13" t="s">
        <v>10</v>
      </c>
      <c r="B13">
        <v>0</v>
      </c>
      <c r="C13">
        <v>5252</v>
      </c>
    </row>
    <row r="14" spans="1:8" x14ac:dyDescent="0.35">
      <c r="A14" t="s">
        <v>10</v>
      </c>
      <c r="B14">
        <v>0</v>
      </c>
      <c r="C14">
        <v>5252</v>
      </c>
    </row>
    <row r="15" spans="1:8" x14ac:dyDescent="0.35">
      <c r="A15" t="s">
        <v>137</v>
      </c>
      <c r="B15">
        <v>89.552000000000007</v>
      </c>
      <c r="C15">
        <v>65215</v>
      </c>
      <c r="D15">
        <f>(C15-5252.1)/669.58</f>
        <v>89.553003375250157</v>
      </c>
      <c r="F15">
        <f>D15-$E$22</f>
        <v>84.879078427272816</v>
      </c>
      <c r="G15">
        <f>AVERAGE(F15:F19)</f>
        <v>89.501976363292414</v>
      </c>
      <c r="H15">
        <f>STDEV(F15:F19)</f>
        <v>3.1414496808032077</v>
      </c>
    </row>
    <row r="16" spans="1:8" x14ac:dyDescent="0.35">
      <c r="A16" t="s">
        <v>137</v>
      </c>
      <c r="B16">
        <v>94.23</v>
      </c>
      <c r="C16">
        <v>68347</v>
      </c>
      <c r="D16">
        <f>(C16-5252.1)/669.58</f>
        <v>94.230562442127891</v>
      </c>
      <c r="F16">
        <f t="shared" ref="F16:F36" si="1">D16-$E$22</f>
        <v>89.55663749415055</v>
      </c>
    </row>
    <row r="17" spans="1:8" x14ac:dyDescent="0.35">
      <c r="A17" t="s">
        <v>137</v>
      </c>
      <c r="B17">
        <v>97.954999999999998</v>
      </c>
      <c r="C17">
        <v>70841</v>
      </c>
      <c r="D17">
        <f>(C17-5252.1)/669.58</f>
        <v>97.955285402789798</v>
      </c>
      <c r="F17">
        <f t="shared" si="1"/>
        <v>93.281360454812457</v>
      </c>
    </row>
    <row r="18" spans="1:8" x14ac:dyDescent="0.35">
      <c r="A18" t="s">
        <v>137</v>
      </c>
      <c r="B18">
        <v>95.894000000000005</v>
      </c>
      <c r="C18">
        <v>69461</v>
      </c>
      <c r="D18">
        <f>(C18-5252.1)/669.58</f>
        <v>95.894291944203829</v>
      </c>
      <c r="F18">
        <f t="shared" si="1"/>
        <v>91.220366996226488</v>
      </c>
    </row>
    <row r="19" spans="1:8" x14ac:dyDescent="0.35">
      <c r="A19" t="s">
        <v>137</v>
      </c>
      <c r="B19">
        <v>93.245999999999995</v>
      </c>
      <c r="C19">
        <v>67688</v>
      </c>
      <c r="D19">
        <f>(C19-5252.1)/669.58</f>
        <v>93.246363391977056</v>
      </c>
      <c r="F19">
        <f t="shared" si="1"/>
        <v>88.572438443999715</v>
      </c>
    </row>
    <row r="20" spans="1:8" x14ac:dyDescent="0.35">
      <c r="A20" t="s">
        <v>10</v>
      </c>
      <c r="B20">
        <v>0</v>
      </c>
      <c r="C20">
        <v>5252</v>
      </c>
    </row>
    <row r="21" spans="1:8" x14ac:dyDescent="0.35">
      <c r="A21" t="s">
        <v>10</v>
      </c>
      <c r="B21">
        <v>0</v>
      </c>
      <c r="C21">
        <v>5252</v>
      </c>
    </row>
    <row r="22" spans="1:8" x14ac:dyDescent="0.35">
      <c r="A22" t="s">
        <v>138</v>
      </c>
      <c r="B22">
        <v>5.1959999999999997</v>
      </c>
      <c r="C22">
        <v>8731</v>
      </c>
      <c r="D22">
        <f t="shared" ref="D22:D29" si="2">(C22-5252.1)/669.58</f>
        <v>5.195645031213596</v>
      </c>
      <c r="E22">
        <f>AVERAGE(D22:D24)</f>
        <v>4.6739249479773379</v>
      </c>
    </row>
    <row r="23" spans="1:8" x14ac:dyDescent="0.35">
      <c r="A23" t="s">
        <v>138</v>
      </c>
      <c r="B23">
        <v>4.194</v>
      </c>
      <c r="C23">
        <v>8060</v>
      </c>
      <c r="D23">
        <f t="shared" si="2"/>
        <v>4.1935242988141814</v>
      </c>
    </row>
    <row r="24" spans="1:8" x14ac:dyDescent="0.35">
      <c r="A24" t="s">
        <v>138</v>
      </c>
      <c r="B24">
        <v>4.633</v>
      </c>
      <c r="C24">
        <v>8354</v>
      </c>
      <c r="D24">
        <f t="shared" si="2"/>
        <v>4.6326055139042372</v>
      </c>
    </row>
    <row r="25" spans="1:8" x14ac:dyDescent="0.35">
      <c r="A25" t="s">
        <v>139</v>
      </c>
      <c r="B25">
        <v>64.447000000000003</v>
      </c>
      <c r="C25">
        <v>48405</v>
      </c>
      <c r="D25">
        <f t="shared" si="2"/>
        <v>64.447713492039782</v>
      </c>
      <c r="F25">
        <f t="shared" si="1"/>
        <v>59.773788544062441</v>
      </c>
      <c r="G25">
        <f>AVERAGE(F25:F29)</f>
        <v>60.842219500781582</v>
      </c>
      <c r="H25">
        <f>STDEV(F25:F29)</f>
        <v>1.4257551951869774</v>
      </c>
    </row>
    <row r="26" spans="1:8" x14ac:dyDescent="0.35">
      <c r="A26" t="s">
        <v>139</v>
      </c>
      <c r="B26">
        <v>65.311999999999998</v>
      </c>
      <c r="C26">
        <v>48984</v>
      </c>
      <c r="D26">
        <f t="shared" si="2"/>
        <v>65.312434660533469</v>
      </c>
      <c r="F26">
        <f t="shared" si="1"/>
        <v>60.638509712556129</v>
      </c>
    </row>
    <row r="27" spans="1:8" x14ac:dyDescent="0.35">
      <c r="A27" t="s">
        <v>139</v>
      </c>
      <c r="B27">
        <v>67.760999999999996</v>
      </c>
      <c r="C27">
        <v>50624</v>
      </c>
      <c r="D27">
        <f t="shared" si="2"/>
        <v>67.761731234505206</v>
      </c>
      <c r="F27">
        <f t="shared" si="1"/>
        <v>63.087806286527865</v>
      </c>
    </row>
    <row r="28" spans="1:8" x14ac:dyDescent="0.35">
      <c r="A28" t="s">
        <v>139</v>
      </c>
      <c r="B28">
        <v>65.875</v>
      </c>
      <c r="C28">
        <v>49361</v>
      </c>
      <c r="D28">
        <f t="shared" si="2"/>
        <v>65.875474177842818</v>
      </c>
      <c r="F28">
        <f t="shared" si="1"/>
        <v>61.201549229865478</v>
      </c>
    </row>
    <row r="29" spans="1:8" x14ac:dyDescent="0.35">
      <c r="A29" t="s">
        <v>139</v>
      </c>
      <c r="B29">
        <v>64.183000000000007</v>
      </c>
      <c r="C29">
        <v>48228</v>
      </c>
      <c r="D29">
        <f t="shared" si="2"/>
        <v>64.183368678873322</v>
      </c>
      <c r="F29">
        <f t="shared" si="1"/>
        <v>59.509443730895981</v>
      </c>
    </row>
    <row r="30" spans="1:8" x14ac:dyDescent="0.35">
      <c r="A30" t="s">
        <v>10</v>
      </c>
      <c r="B30">
        <v>0</v>
      </c>
      <c r="C30">
        <v>5252</v>
      </c>
    </row>
    <row r="31" spans="1:8" x14ac:dyDescent="0.35">
      <c r="A31" t="s">
        <v>10</v>
      </c>
      <c r="B31">
        <v>0</v>
      </c>
      <c r="C31">
        <v>5252</v>
      </c>
    </row>
    <row r="32" spans="1:8" x14ac:dyDescent="0.35">
      <c r="A32" t="s">
        <v>140</v>
      </c>
      <c r="B32">
        <v>35.061999999999998</v>
      </c>
      <c r="C32">
        <v>28729</v>
      </c>
      <c r="D32">
        <f>(C32-5252.1)/669.58</f>
        <v>35.062128498461725</v>
      </c>
      <c r="F32">
        <f t="shared" si="1"/>
        <v>30.388203550484388</v>
      </c>
      <c r="G32">
        <f>AVERAGE(F32:F36)</f>
        <v>30.737078964923292</v>
      </c>
      <c r="H32">
        <f>STDEV(F32:F36)</f>
        <v>0.51063102399306648</v>
      </c>
    </row>
    <row r="33" spans="1:6" x14ac:dyDescent="0.35">
      <c r="A33" t="s">
        <v>140</v>
      </c>
      <c r="B33">
        <v>34.905000000000001</v>
      </c>
      <c r="C33">
        <v>28624</v>
      </c>
      <c r="D33">
        <f>(C33-5252.1)/669.58</f>
        <v>34.905313778786699</v>
      </c>
      <c r="F33">
        <f t="shared" si="1"/>
        <v>30.231388830809362</v>
      </c>
    </row>
    <row r="34" spans="1:6" x14ac:dyDescent="0.35">
      <c r="A34" t="s">
        <v>140</v>
      </c>
      <c r="B34">
        <v>35.840000000000003</v>
      </c>
      <c r="C34">
        <v>29250</v>
      </c>
      <c r="D34">
        <f>(C34-5252.1)/669.58</f>
        <v>35.840228202753963</v>
      </c>
      <c r="F34">
        <f t="shared" si="1"/>
        <v>31.166303254776626</v>
      </c>
    </row>
    <row r="35" spans="1:6" x14ac:dyDescent="0.35">
      <c r="A35" t="s">
        <v>140</v>
      </c>
      <c r="B35">
        <v>36.066000000000003</v>
      </c>
      <c r="C35">
        <v>29401</v>
      </c>
      <c r="D35">
        <f>(C35-5252.1)/669.58</f>
        <v>36.065742704381854</v>
      </c>
      <c r="F35">
        <f t="shared" si="1"/>
        <v>31.391817756404517</v>
      </c>
    </row>
    <row r="36" spans="1:6" x14ac:dyDescent="0.35">
      <c r="A36" t="s">
        <v>140</v>
      </c>
      <c r="B36">
        <v>35.180999999999997</v>
      </c>
      <c r="C36">
        <v>28809</v>
      </c>
      <c r="D36">
        <f>(C36-5252.1)/669.58</f>
        <v>35.181606380118879</v>
      </c>
      <c r="F36">
        <f t="shared" si="1"/>
        <v>30.507681432141542</v>
      </c>
    </row>
    <row r="37" spans="1:6" x14ac:dyDescent="0.35">
      <c r="A37" t="s">
        <v>10</v>
      </c>
      <c r="B37">
        <v>0</v>
      </c>
      <c r="C37">
        <v>5252</v>
      </c>
    </row>
    <row r="38" spans="1:6" x14ac:dyDescent="0.35">
      <c r="A38" t="s">
        <v>10</v>
      </c>
      <c r="B38">
        <v>0</v>
      </c>
      <c r="C38">
        <v>5252</v>
      </c>
    </row>
    <row r="39" spans="1:6" x14ac:dyDescent="0.35">
      <c r="A39" t="s">
        <v>10</v>
      </c>
      <c r="B39">
        <v>0</v>
      </c>
      <c r="C39">
        <v>5252</v>
      </c>
    </row>
    <row r="40" spans="1:6" x14ac:dyDescent="0.35">
      <c r="A40" t="s">
        <v>141</v>
      </c>
      <c r="B40">
        <v>0</v>
      </c>
      <c r="C40">
        <v>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election activeCell="K26" sqref="K26"/>
    </sheetView>
  </sheetViews>
  <sheetFormatPr baseColWidth="10" defaultRowHeight="14.5" x14ac:dyDescent="0.35"/>
  <cols>
    <col min="1" max="1" width="21.81640625" bestFit="1" customWidth="1"/>
    <col min="2" max="2" width="13.6328125" bestFit="1" customWidth="1"/>
    <col min="4" max="4" width="11.453125" customWidth="1"/>
    <col min="5" max="5" width="15.54296875" bestFit="1" customWidth="1"/>
    <col min="7" max="7" width="17.7265625" bestFit="1" customWidth="1"/>
    <col min="8" max="8" width="18.36328125" bestFit="1" customWidth="1"/>
    <col min="11" max="11" width="12.90625" bestFit="1" customWidth="1"/>
    <col min="12" max="12" width="13.36328125" bestFit="1" customWidth="1"/>
    <col min="13" max="13" width="14.1796875" bestFit="1" customWidth="1"/>
  </cols>
  <sheetData>
    <row r="1" spans="1:13" x14ac:dyDescent="0.35">
      <c r="A1" s="83" t="s">
        <v>143</v>
      </c>
      <c r="B1" s="83" t="s">
        <v>148</v>
      </c>
      <c r="D1" s="83" t="s">
        <v>142</v>
      </c>
      <c r="E1" s="83"/>
    </row>
    <row r="2" spans="1:13" x14ac:dyDescent="0.35">
      <c r="A2" s="84" t="s">
        <v>144</v>
      </c>
      <c r="B2" s="84" t="s">
        <v>145</v>
      </c>
      <c r="D2" s="84" t="s">
        <v>129</v>
      </c>
      <c r="E2" s="84" t="s">
        <v>130</v>
      </c>
      <c r="G2" s="85" t="s">
        <v>146</v>
      </c>
      <c r="H2" s="84" t="s">
        <v>147</v>
      </c>
      <c r="I2" s="86" t="s">
        <v>131</v>
      </c>
      <c r="K2" s="85" t="s">
        <v>132</v>
      </c>
      <c r="L2" s="87" t="s">
        <v>44</v>
      </c>
      <c r="M2" s="86" t="s">
        <v>45</v>
      </c>
    </row>
    <row r="3" spans="1:13" x14ac:dyDescent="0.35">
      <c r="A3" s="10">
        <v>5</v>
      </c>
      <c r="B3" s="10">
        <v>4.93</v>
      </c>
      <c r="D3" s="10">
        <v>35.062128498461703</v>
      </c>
      <c r="E3" s="10">
        <v>30.392128498461702</v>
      </c>
      <c r="G3" s="79">
        <v>14.937039101325229</v>
      </c>
      <c r="H3" s="10">
        <v>15.437039101325229</v>
      </c>
      <c r="I3" s="81">
        <v>30.874078202650459</v>
      </c>
      <c r="K3" s="79">
        <v>1.3176718890789393E-5</v>
      </c>
      <c r="L3" s="80">
        <v>4.9299999999999995E-3</v>
      </c>
      <c r="M3" s="81">
        <v>0.26727624524927779</v>
      </c>
    </row>
    <row r="4" spans="1:13" x14ac:dyDescent="0.35">
      <c r="A4" s="78">
        <v>5</v>
      </c>
      <c r="B4" s="78">
        <v>5.01</v>
      </c>
      <c r="D4" s="78">
        <v>34.905313778786699</v>
      </c>
      <c r="E4" s="78">
        <v>30.235313778786697</v>
      </c>
      <c r="G4" s="4">
        <v>14.957396224461618</v>
      </c>
      <c r="H4" s="78">
        <v>15.457396224461618</v>
      </c>
      <c r="I4" s="5">
        <v>30.914792448923237</v>
      </c>
      <c r="K4" s="4">
        <v>1.3126017515131379E-5</v>
      </c>
      <c r="L4" s="82">
        <v>5.0099999999999997E-3</v>
      </c>
      <c r="M4" s="5">
        <v>0.26199635758745266</v>
      </c>
    </row>
    <row r="5" spans="1:13" x14ac:dyDescent="0.35">
      <c r="A5" s="78">
        <v>5</v>
      </c>
      <c r="B5" s="78">
        <v>5.05</v>
      </c>
      <c r="D5" s="78">
        <v>35.840228202753963</v>
      </c>
      <c r="E5" s="78">
        <v>31.170228202753961</v>
      </c>
      <c r="G5" s="4">
        <v>14.937039101325229</v>
      </c>
      <c r="H5" s="78">
        <v>15.437039101325229</v>
      </c>
      <c r="I5" s="5">
        <v>30.874078202650459</v>
      </c>
      <c r="K5" s="4">
        <v>1.3514069434466662E-5</v>
      </c>
      <c r="L5" s="82">
        <v>5.0499999999999998E-3</v>
      </c>
      <c r="M5" s="5">
        <v>0.26760533533597353</v>
      </c>
    </row>
    <row r="6" spans="1:13" x14ac:dyDescent="0.35">
      <c r="A6" s="78">
        <v>5</v>
      </c>
      <c r="B6" s="78">
        <v>4.9400000000000004</v>
      </c>
      <c r="D6" s="78">
        <v>36.065742704381854</v>
      </c>
      <c r="E6" s="78">
        <v>31.395742704381853</v>
      </c>
      <c r="G6" s="4">
        <v>14.911592697404743</v>
      </c>
      <c r="H6" s="78">
        <v>15.411592697404743</v>
      </c>
      <c r="I6" s="5">
        <v>30.823185394809485</v>
      </c>
      <c r="K6" s="4">
        <v>1.3589405064902445E-5</v>
      </c>
      <c r="L6" s="82">
        <v>4.9400000000000008E-3</v>
      </c>
      <c r="M6" s="5">
        <v>0.2750891713543005</v>
      </c>
    </row>
    <row r="7" spans="1:13" x14ac:dyDescent="0.35">
      <c r="A7" s="11">
        <v>5</v>
      </c>
      <c r="B7" s="11">
        <v>5.01</v>
      </c>
      <c r="D7" s="11">
        <v>35.181606380118879</v>
      </c>
      <c r="E7" s="11">
        <v>30.511606380118877</v>
      </c>
      <c r="G7" s="7">
        <v>14.950271231363883</v>
      </c>
      <c r="H7" s="11">
        <v>15.450271231363883</v>
      </c>
      <c r="I7" s="8">
        <v>30.900542462727767</v>
      </c>
      <c r="K7" s="7">
        <v>1.3239858416579304E-5</v>
      </c>
      <c r="L7" s="6">
        <v>5.0099999999999997E-3</v>
      </c>
      <c r="M7" s="8">
        <v>0.2642686310694472</v>
      </c>
    </row>
    <row r="8" spans="1:13" x14ac:dyDescent="0.35">
      <c r="A8" s="10">
        <v>10</v>
      </c>
      <c r="B8" s="10">
        <v>9.9499999999999993</v>
      </c>
      <c r="D8" s="78">
        <v>64.447713492039782</v>
      </c>
      <c r="E8" s="78">
        <v>59.77771349203978</v>
      </c>
      <c r="G8" s="4">
        <v>14.960449792932074</v>
      </c>
      <c r="H8" s="78">
        <v>15.460449792932074</v>
      </c>
      <c r="I8" s="5">
        <v>30.920899585864149</v>
      </c>
      <c r="K8" s="4">
        <v>2.5956347742953248E-5</v>
      </c>
      <c r="L8" s="82">
        <v>9.9499999999999988E-3</v>
      </c>
      <c r="M8" s="5">
        <v>0.26086781651209295</v>
      </c>
    </row>
    <row r="9" spans="1:13" x14ac:dyDescent="0.35">
      <c r="A9" s="78">
        <v>10</v>
      </c>
      <c r="B9" s="78">
        <v>9.93</v>
      </c>
      <c r="D9" s="78">
        <v>65.312434660533469</v>
      </c>
      <c r="E9" s="78">
        <v>60.642434660533468</v>
      </c>
      <c r="G9" s="4">
        <v>14.942128382109326</v>
      </c>
      <c r="H9" s="78">
        <v>15.442128382109326</v>
      </c>
      <c r="I9" s="5">
        <v>30.884256764218652</v>
      </c>
      <c r="K9" s="4">
        <v>2.6300617646438161E-5</v>
      </c>
      <c r="L9" s="82">
        <v>9.9299999999999996E-3</v>
      </c>
      <c r="M9" s="5">
        <v>0.26486019784932691</v>
      </c>
    </row>
    <row r="10" spans="1:13" x14ac:dyDescent="0.35">
      <c r="A10" s="78">
        <v>10</v>
      </c>
      <c r="B10" s="78">
        <v>10.09</v>
      </c>
      <c r="D10" s="78">
        <v>67.761731234505206</v>
      </c>
      <c r="E10" s="78">
        <v>63.091731234505204</v>
      </c>
      <c r="G10" s="4">
        <v>14.956378368304799</v>
      </c>
      <c r="H10" s="78">
        <v>15.456378368304799</v>
      </c>
      <c r="I10" s="5">
        <v>30.912756736609598</v>
      </c>
      <c r="K10" s="4">
        <v>2.7388127763187429E-5</v>
      </c>
      <c r="L10" s="82">
        <v>1.009E-2</v>
      </c>
      <c r="M10" s="5">
        <v>0.27143833263813111</v>
      </c>
    </row>
    <row r="11" spans="1:13" x14ac:dyDescent="0.35">
      <c r="A11" s="78">
        <v>10</v>
      </c>
      <c r="B11" s="78">
        <v>9.93</v>
      </c>
      <c r="D11" s="78">
        <v>65.875474177842818</v>
      </c>
      <c r="E11" s="78">
        <v>61.205474177842817</v>
      </c>
      <c r="G11" s="4">
        <v>14.952306943677522</v>
      </c>
      <c r="H11" s="78">
        <v>15.452306943677522</v>
      </c>
      <c r="I11" s="5">
        <v>30.904613887355044</v>
      </c>
      <c r="K11" s="4">
        <v>2.6562304635267273E-5</v>
      </c>
      <c r="L11" s="82">
        <v>9.9299999999999996E-3</v>
      </c>
      <c r="M11" s="5">
        <v>0.26749551495737434</v>
      </c>
    </row>
    <row r="12" spans="1:13" x14ac:dyDescent="0.35">
      <c r="A12" s="11">
        <v>10</v>
      </c>
      <c r="B12" s="11">
        <v>9.98</v>
      </c>
      <c r="D12" s="11">
        <v>64.183368678873322</v>
      </c>
      <c r="E12" s="11">
        <v>59.51336867887332</v>
      </c>
      <c r="G12" s="7">
        <v>14.927878395913854</v>
      </c>
      <c r="H12" s="11">
        <v>15.427878395913854</v>
      </c>
      <c r="I12" s="8">
        <v>30.855756791827709</v>
      </c>
      <c r="K12" s="7">
        <v>2.5787123526222392E-5</v>
      </c>
      <c r="L12" s="6">
        <v>9.980000000000001E-3</v>
      </c>
      <c r="M12" s="8">
        <v>0.25838801128479344</v>
      </c>
    </row>
    <row r="13" spans="1:13" x14ac:dyDescent="0.35">
      <c r="A13" s="78">
        <v>15</v>
      </c>
      <c r="B13" s="78">
        <v>14.96</v>
      </c>
      <c r="D13" s="78">
        <v>89.553003375250157</v>
      </c>
      <c r="E13" s="78">
        <v>84.883003375250155</v>
      </c>
      <c r="G13" s="4">
        <v>14.97673549144119</v>
      </c>
      <c r="H13" s="78">
        <v>15.47673549144119</v>
      </c>
      <c r="I13" s="5">
        <v>30.953470982882379</v>
      </c>
      <c r="K13" s="4">
        <v>3.6896252504946877E-5</v>
      </c>
      <c r="L13" s="82">
        <v>1.4960000000000001E-2</v>
      </c>
      <c r="M13" s="5">
        <v>0.24663270391007269</v>
      </c>
    </row>
    <row r="14" spans="1:13" x14ac:dyDescent="0.35">
      <c r="A14" s="78">
        <v>15</v>
      </c>
      <c r="B14" s="78">
        <v>14.97</v>
      </c>
      <c r="D14" s="78">
        <v>94.230562442127891</v>
      </c>
      <c r="E14" s="78">
        <v>89.560562442127889</v>
      </c>
      <c r="G14" s="4">
        <v>14.938056957482051</v>
      </c>
      <c r="H14" s="78">
        <v>15.438056957482051</v>
      </c>
      <c r="I14" s="5">
        <v>30.876113914964101</v>
      </c>
      <c r="K14" s="4">
        <v>3.883216560650229E-5</v>
      </c>
      <c r="L14" s="82">
        <v>1.4970000000000001E-2</v>
      </c>
      <c r="M14" s="5">
        <v>0.25939990385105072</v>
      </c>
    </row>
    <row r="15" spans="1:13" x14ac:dyDescent="0.35">
      <c r="A15" s="78">
        <v>15</v>
      </c>
      <c r="B15" s="78">
        <v>14.99</v>
      </c>
      <c r="D15" s="78">
        <v>97.955285402789798</v>
      </c>
      <c r="E15" s="78">
        <v>93.285285402789796</v>
      </c>
      <c r="G15" s="4">
        <v>14.936021245168412</v>
      </c>
      <c r="H15" s="78">
        <v>15.436021245168412</v>
      </c>
      <c r="I15" s="5">
        <v>30.872042490336824</v>
      </c>
      <c r="K15" s="4">
        <v>4.0441818162341222E-5</v>
      </c>
      <c r="L15" s="82">
        <v>1.499E-2</v>
      </c>
      <c r="M15" s="5">
        <v>0.26979198240387736</v>
      </c>
    </row>
    <row r="16" spans="1:13" x14ac:dyDescent="0.35">
      <c r="A16" s="78">
        <v>15</v>
      </c>
      <c r="B16" s="78">
        <v>15.02</v>
      </c>
      <c r="D16" s="78">
        <v>95.894291944203829</v>
      </c>
      <c r="E16" s="78">
        <v>91.224291944203827</v>
      </c>
      <c r="G16" s="4">
        <v>14.950271231363882</v>
      </c>
      <c r="H16" s="78">
        <v>15.450271231363882</v>
      </c>
      <c r="I16" s="5">
        <v>30.900542462727763</v>
      </c>
      <c r="K16" s="4">
        <v>3.9584828620526035E-5</v>
      </c>
      <c r="L16" s="82">
        <v>1.502E-2</v>
      </c>
      <c r="M16" s="5">
        <v>0.26354746085569924</v>
      </c>
    </row>
    <row r="17" spans="1:13" x14ac:dyDescent="0.35">
      <c r="A17" s="11">
        <v>15</v>
      </c>
      <c r="B17" s="11">
        <v>14.98</v>
      </c>
      <c r="D17" s="11">
        <v>93.246363391977056</v>
      </c>
      <c r="E17" s="11">
        <v>88.576363391977054</v>
      </c>
      <c r="G17" s="7">
        <v>14.948235519050243</v>
      </c>
      <c r="H17" s="11">
        <v>15.448235519050243</v>
      </c>
      <c r="I17" s="8">
        <v>30.896471038100486</v>
      </c>
      <c r="K17" s="7">
        <v>3.8430752445531836E-5</v>
      </c>
      <c r="L17" s="6">
        <v>1.498E-2</v>
      </c>
      <c r="M17" s="8">
        <v>0.25654707907564644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8"/>
  <sheetViews>
    <sheetView workbookViewId="0">
      <selection activeCell="B43" sqref="B43"/>
    </sheetView>
  </sheetViews>
  <sheetFormatPr baseColWidth="10" defaultRowHeight="14.5" x14ac:dyDescent="0.35"/>
  <cols>
    <col min="4" max="4" width="24.54296875" bestFit="1" customWidth="1"/>
    <col min="9" max="9" width="12.1796875" bestFit="1" customWidth="1"/>
  </cols>
  <sheetData>
    <row r="1" spans="1:8" x14ac:dyDescent="0.35">
      <c r="A1" t="s">
        <v>0</v>
      </c>
      <c r="B1" t="s">
        <v>1</v>
      </c>
      <c r="C1" t="s">
        <v>2</v>
      </c>
      <c r="D1" s="1" t="s">
        <v>38</v>
      </c>
      <c r="E1" s="2" t="s">
        <v>39</v>
      </c>
      <c r="F1" s="2" t="s">
        <v>40</v>
      </c>
      <c r="G1" s="2" t="s">
        <v>41</v>
      </c>
      <c r="H1" s="3" t="s">
        <v>42</v>
      </c>
    </row>
    <row r="2" spans="1:8" x14ac:dyDescent="0.35">
      <c r="A2" t="s">
        <v>3</v>
      </c>
      <c r="B2">
        <v>50.091999999999999</v>
      </c>
      <c r="C2">
        <v>58201</v>
      </c>
      <c r="D2" s="4"/>
      <c r="H2" s="5"/>
    </row>
    <row r="3" spans="1:8" x14ac:dyDescent="0.35">
      <c r="A3" t="s">
        <v>4</v>
      </c>
      <c r="B3">
        <v>0.42699999999999999</v>
      </c>
      <c r="C3">
        <v>5733</v>
      </c>
      <c r="D3" s="4"/>
      <c r="H3" s="5"/>
    </row>
    <row r="4" spans="1:8" x14ac:dyDescent="0.35">
      <c r="A4" t="s">
        <v>11</v>
      </c>
      <c r="B4">
        <v>0.193</v>
      </c>
      <c r="C4">
        <v>5486</v>
      </c>
      <c r="D4" s="4">
        <f>(C4-5282)/1056.4</f>
        <v>0.19310867095797044</v>
      </c>
      <c r="H4" s="5"/>
    </row>
    <row r="5" spans="1:8" x14ac:dyDescent="0.35">
      <c r="A5" t="s">
        <v>5</v>
      </c>
      <c r="B5">
        <v>5.12</v>
      </c>
      <c r="C5">
        <v>10691</v>
      </c>
      <c r="D5" s="4">
        <f t="shared" ref="D5:D68" si="0">(C5-5282)/1056.4</f>
        <v>5.1202196137826572</v>
      </c>
      <c r="H5" s="5"/>
    </row>
    <row r="6" spans="1:8" x14ac:dyDescent="0.35">
      <c r="A6" t="s">
        <v>6</v>
      </c>
      <c r="B6">
        <v>10.315</v>
      </c>
      <c r="C6">
        <v>16179</v>
      </c>
      <c r="D6" s="4">
        <f t="shared" si="0"/>
        <v>10.315221507004921</v>
      </c>
      <c r="H6" s="5"/>
    </row>
    <row r="7" spans="1:8" x14ac:dyDescent="0.35">
      <c r="A7" t="s">
        <v>7</v>
      </c>
      <c r="B7">
        <v>20.364000000000001</v>
      </c>
      <c r="C7">
        <v>26795</v>
      </c>
      <c r="D7" s="4">
        <f t="shared" si="0"/>
        <v>20.36444528587656</v>
      </c>
      <c r="H7" s="5"/>
    </row>
    <row r="8" spans="1:8" x14ac:dyDescent="0.35">
      <c r="A8" t="s">
        <v>8</v>
      </c>
      <c r="B8">
        <v>30.731000000000002</v>
      </c>
      <c r="C8">
        <v>37747</v>
      </c>
      <c r="D8" s="4">
        <f t="shared" si="0"/>
        <v>30.731730405149563</v>
      </c>
      <c r="H8" s="5"/>
    </row>
    <row r="9" spans="1:8" x14ac:dyDescent="0.35">
      <c r="A9" t="s">
        <v>9</v>
      </c>
      <c r="B9">
        <v>50.002000000000002</v>
      </c>
      <c r="C9">
        <v>58106</v>
      </c>
      <c r="D9" s="4">
        <f t="shared" si="0"/>
        <v>50.003786444528586</v>
      </c>
      <c r="H9" s="5"/>
    </row>
    <row r="10" spans="1:8" x14ac:dyDescent="0.35">
      <c r="A10" t="s">
        <v>10</v>
      </c>
      <c r="B10">
        <v>0</v>
      </c>
      <c r="C10">
        <v>5282</v>
      </c>
      <c r="D10" s="4">
        <f t="shared" si="0"/>
        <v>0</v>
      </c>
      <c r="H10" s="5"/>
    </row>
    <row r="11" spans="1:8" x14ac:dyDescent="0.35">
      <c r="A11" t="s">
        <v>10</v>
      </c>
      <c r="B11">
        <v>0</v>
      </c>
      <c r="C11">
        <v>5282</v>
      </c>
      <c r="D11" s="4">
        <f t="shared" si="0"/>
        <v>0</v>
      </c>
      <c r="H11" s="5"/>
    </row>
    <row r="12" spans="1:8" x14ac:dyDescent="0.35">
      <c r="A12" t="s">
        <v>12</v>
      </c>
      <c r="B12">
        <v>0.16200000000000001</v>
      </c>
      <c r="C12">
        <v>5453</v>
      </c>
      <c r="D12" s="4">
        <f>(C12-5282)/1056.4</f>
        <v>0.16187050359712229</v>
      </c>
      <c r="E12">
        <f>AVERAGE(D12:D14)</f>
        <v>4.1650889814464215E-2</v>
      </c>
      <c r="H12" s="5"/>
    </row>
    <row r="13" spans="1:8" x14ac:dyDescent="0.35">
      <c r="A13" t="s">
        <v>12</v>
      </c>
      <c r="B13">
        <v>-1.4E-2</v>
      </c>
      <c r="C13">
        <v>5267</v>
      </c>
      <c r="D13" s="4">
        <f t="shared" si="0"/>
        <v>-1.419916698220371E-2</v>
      </c>
      <c r="H13" s="5"/>
    </row>
    <row r="14" spans="1:8" x14ac:dyDescent="0.35">
      <c r="A14" t="s">
        <v>12</v>
      </c>
      <c r="B14">
        <v>-2.3E-2</v>
      </c>
      <c r="C14">
        <v>5258</v>
      </c>
      <c r="D14" s="4">
        <f t="shared" si="0"/>
        <v>-2.2718667171525934E-2</v>
      </c>
      <c r="H14" s="5"/>
    </row>
    <row r="15" spans="1:8" x14ac:dyDescent="0.35">
      <c r="A15" t="s">
        <v>12</v>
      </c>
      <c r="B15">
        <v>4.5270000000000001</v>
      </c>
      <c r="C15">
        <v>10064</v>
      </c>
      <c r="D15" s="4">
        <f t="shared" si="0"/>
        <v>4.5266944339265427</v>
      </c>
      <c r="F15">
        <f>D15-$E$12-$E$128</f>
        <v>4.473684210526315</v>
      </c>
      <c r="G15">
        <f>AVERAGE(F15:F19)</f>
        <v>4.5113593335857614</v>
      </c>
      <c r="H15" s="5">
        <f>STDEV(F15:F19)</f>
        <v>0.13724294522062302</v>
      </c>
    </row>
    <row r="16" spans="1:8" x14ac:dyDescent="0.35">
      <c r="A16" t="s">
        <v>12</v>
      </c>
      <c r="B16">
        <v>4.681</v>
      </c>
      <c r="C16">
        <v>10227</v>
      </c>
      <c r="D16" s="4">
        <f t="shared" si="0"/>
        <v>4.6809920484664893</v>
      </c>
      <c r="F16">
        <f t="shared" ref="F16:F19" si="1">D16-$E$12-$E$128</f>
        <v>4.6279818250662617</v>
      </c>
      <c r="H16" s="5"/>
    </row>
    <row r="17" spans="1:8" x14ac:dyDescent="0.35">
      <c r="A17" t="s">
        <v>12</v>
      </c>
      <c r="B17">
        <v>4.585</v>
      </c>
      <c r="C17">
        <v>10126</v>
      </c>
      <c r="D17" s="4">
        <f t="shared" si="0"/>
        <v>4.5853843241196515</v>
      </c>
      <c r="F17">
        <f t="shared" si="1"/>
        <v>4.5323741007194238</v>
      </c>
      <c r="H17" s="5"/>
    </row>
    <row r="18" spans="1:8" x14ac:dyDescent="0.35">
      <c r="A18" t="s">
        <v>12</v>
      </c>
      <c r="B18">
        <v>4.68</v>
      </c>
      <c r="C18">
        <v>10226</v>
      </c>
      <c r="D18" s="4">
        <f t="shared" si="0"/>
        <v>4.6800454373343428</v>
      </c>
      <c r="F18">
        <f t="shared" si="1"/>
        <v>4.6270352139341151</v>
      </c>
      <c r="H18" s="5"/>
    </row>
    <row r="19" spans="1:8" x14ac:dyDescent="0.35">
      <c r="A19" t="s">
        <v>12</v>
      </c>
      <c r="B19">
        <v>4.3490000000000002</v>
      </c>
      <c r="C19">
        <v>9876</v>
      </c>
      <c r="D19" s="4">
        <f t="shared" si="0"/>
        <v>4.3487315410829224</v>
      </c>
      <c r="F19">
        <f t="shared" si="1"/>
        <v>4.2957213176826947</v>
      </c>
      <c r="H19" s="5"/>
    </row>
    <row r="20" spans="1:8" x14ac:dyDescent="0.35">
      <c r="A20" t="s">
        <v>10</v>
      </c>
      <c r="B20">
        <v>0</v>
      </c>
      <c r="C20">
        <v>5282</v>
      </c>
      <c r="D20" s="4">
        <f t="shared" si="0"/>
        <v>0</v>
      </c>
      <c r="H20" s="5"/>
    </row>
    <row r="21" spans="1:8" x14ac:dyDescent="0.35">
      <c r="A21" t="s">
        <v>10</v>
      </c>
      <c r="B21">
        <v>0</v>
      </c>
      <c r="C21">
        <v>5282</v>
      </c>
      <c r="D21" s="4">
        <f t="shared" si="0"/>
        <v>0</v>
      </c>
      <c r="H21" s="5"/>
    </row>
    <row r="22" spans="1:8" x14ac:dyDescent="0.35">
      <c r="A22" t="s">
        <v>13</v>
      </c>
      <c r="B22">
        <v>3.5000000000000003E-2</v>
      </c>
      <c r="C22">
        <v>5319</v>
      </c>
      <c r="D22" s="4">
        <f t="shared" si="0"/>
        <v>3.5024611889435814E-2</v>
      </c>
      <c r="E22">
        <f>AVERAGE(D22:D24)</f>
        <v>3.1238167360848158E-2</v>
      </c>
      <c r="H22" s="5"/>
    </row>
    <row r="23" spans="1:8" x14ac:dyDescent="0.35">
      <c r="A23" t="s">
        <v>13</v>
      </c>
      <c r="B23">
        <v>2.9000000000000001E-2</v>
      </c>
      <c r="C23">
        <v>5313</v>
      </c>
      <c r="D23" s="4">
        <f t="shared" si="0"/>
        <v>2.9344945096554331E-2</v>
      </c>
      <c r="H23" s="5"/>
    </row>
    <row r="24" spans="1:8" x14ac:dyDescent="0.35">
      <c r="A24" t="s">
        <v>13</v>
      </c>
      <c r="B24">
        <v>2.9000000000000001E-2</v>
      </c>
      <c r="C24">
        <v>5313</v>
      </c>
      <c r="D24" s="4">
        <f t="shared" si="0"/>
        <v>2.9344945096554331E-2</v>
      </c>
      <c r="H24" s="5"/>
    </row>
    <row r="25" spans="1:8" x14ac:dyDescent="0.35">
      <c r="A25" t="s">
        <v>13</v>
      </c>
      <c r="B25">
        <v>5.66</v>
      </c>
      <c r="C25">
        <v>11261</v>
      </c>
      <c r="D25" s="4">
        <f t="shared" si="0"/>
        <v>5.6597879591063984</v>
      </c>
      <c r="F25">
        <f>D25-$E$22-$E$130</f>
        <v>5.6588413479742519</v>
      </c>
      <c r="G25">
        <f>AVERAGE(F25:F29)</f>
        <v>5.7063612268080259</v>
      </c>
      <c r="H25" s="5">
        <f>STDEV(F25:F29)</f>
        <v>9.2381681057835299E-2</v>
      </c>
    </row>
    <row r="26" spans="1:8" x14ac:dyDescent="0.35">
      <c r="A26" t="s">
        <v>13</v>
      </c>
      <c r="B26">
        <v>5.8259999999999996</v>
      </c>
      <c r="C26">
        <v>11437</v>
      </c>
      <c r="D26" s="4">
        <f t="shared" si="0"/>
        <v>5.8263915183642556</v>
      </c>
      <c r="F26">
        <f t="shared" ref="F26:F29" si="2">D26-$E$22-$E$130</f>
        <v>5.8254449072321091</v>
      </c>
      <c r="H26" s="5"/>
    </row>
    <row r="27" spans="1:8" x14ac:dyDescent="0.35">
      <c r="A27" t="s">
        <v>13</v>
      </c>
      <c r="B27">
        <v>5.6280000000000001</v>
      </c>
      <c r="C27">
        <v>11228</v>
      </c>
      <c r="D27" s="4">
        <f t="shared" si="0"/>
        <v>5.6285497917455505</v>
      </c>
      <c r="F27">
        <f t="shared" si="2"/>
        <v>5.6276031806134039</v>
      </c>
      <c r="H27" s="5"/>
    </row>
    <row r="28" spans="1:8" x14ac:dyDescent="0.35">
      <c r="A28" t="s">
        <v>13</v>
      </c>
      <c r="B28">
        <v>5.7859999999999996</v>
      </c>
      <c r="C28">
        <v>11395</v>
      </c>
      <c r="D28" s="4">
        <f t="shared" si="0"/>
        <v>5.7866338508140851</v>
      </c>
      <c r="F28">
        <f t="shared" si="2"/>
        <v>5.7856872396819385</v>
      </c>
      <c r="H28" s="5"/>
    </row>
    <row r="29" spans="1:8" x14ac:dyDescent="0.35">
      <c r="A29" t="s">
        <v>13</v>
      </c>
      <c r="B29">
        <v>5.6349999999999998</v>
      </c>
      <c r="C29">
        <v>11235</v>
      </c>
      <c r="D29" s="4">
        <f t="shared" si="0"/>
        <v>5.635176069670579</v>
      </c>
      <c r="F29">
        <f t="shared" si="2"/>
        <v>5.6342294585384325</v>
      </c>
      <c r="H29" s="5"/>
    </row>
    <row r="30" spans="1:8" x14ac:dyDescent="0.35">
      <c r="A30" t="s">
        <v>10</v>
      </c>
      <c r="B30">
        <v>0</v>
      </c>
      <c r="C30">
        <v>5282</v>
      </c>
      <c r="D30" s="4">
        <f t="shared" si="0"/>
        <v>0</v>
      </c>
      <c r="H30" s="5"/>
    </row>
    <row r="31" spans="1:8" x14ac:dyDescent="0.35">
      <c r="A31" t="s">
        <v>10</v>
      </c>
      <c r="B31">
        <v>0</v>
      </c>
      <c r="C31">
        <v>5282</v>
      </c>
      <c r="D31" s="4">
        <f t="shared" si="0"/>
        <v>0</v>
      </c>
      <c r="H31" s="5"/>
    </row>
    <row r="32" spans="1:8" x14ac:dyDescent="0.35">
      <c r="A32" t="s">
        <v>14</v>
      </c>
      <c r="B32">
        <v>5.0000000000000001E-3</v>
      </c>
      <c r="C32">
        <v>5287</v>
      </c>
      <c r="D32" s="4">
        <f t="shared" si="0"/>
        <v>4.7330556607345703E-3</v>
      </c>
      <c r="E32">
        <f>AVERAGE(D32:D34)</f>
        <v>1.7985611510791366E-2</v>
      </c>
      <c r="H32" s="5"/>
    </row>
    <row r="33" spans="1:8" x14ac:dyDescent="0.35">
      <c r="A33" t="s">
        <v>14</v>
      </c>
      <c r="B33">
        <v>2.1999999999999999E-2</v>
      </c>
      <c r="C33">
        <v>5305</v>
      </c>
      <c r="D33" s="4">
        <f t="shared" si="0"/>
        <v>2.1772056039379022E-2</v>
      </c>
      <c r="H33" s="5"/>
    </row>
    <row r="34" spans="1:8" x14ac:dyDescent="0.35">
      <c r="A34" t="s">
        <v>14</v>
      </c>
      <c r="B34">
        <v>2.7E-2</v>
      </c>
      <c r="C34">
        <v>5311</v>
      </c>
      <c r="D34" s="4">
        <f t="shared" si="0"/>
        <v>2.7451722832260505E-2</v>
      </c>
      <c r="H34" s="5"/>
    </row>
    <row r="35" spans="1:8" x14ac:dyDescent="0.35">
      <c r="A35" t="s">
        <v>14</v>
      </c>
      <c r="B35">
        <v>6.1959999999999997</v>
      </c>
      <c r="C35">
        <v>11828</v>
      </c>
      <c r="D35" s="4">
        <f t="shared" si="0"/>
        <v>6.1965164710336991</v>
      </c>
      <c r="F35">
        <f>D35-$E$32-$E$132</f>
        <v>6.1771109428246866</v>
      </c>
      <c r="G35">
        <f>AVERAGE(F35:F39)</f>
        <v>6.1778682317304048</v>
      </c>
      <c r="H35" s="5">
        <f>STDEV(F35:F39)</f>
        <v>5.881723917264458E-2</v>
      </c>
    </row>
    <row r="36" spans="1:8" x14ac:dyDescent="0.35">
      <c r="A36" t="s">
        <v>14</v>
      </c>
      <c r="B36">
        <v>6.25</v>
      </c>
      <c r="C36">
        <v>11885</v>
      </c>
      <c r="D36" s="4">
        <f t="shared" si="0"/>
        <v>6.2504733055660733</v>
      </c>
      <c r="F36">
        <f t="shared" ref="F36:F38" si="3">D36-$E$32-$E$132</f>
        <v>6.2310677773570609</v>
      </c>
      <c r="H36" s="5"/>
    </row>
    <row r="37" spans="1:8" x14ac:dyDescent="0.35">
      <c r="A37" t="s">
        <v>14</v>
      </c>
      <c r="B37">
        <v>6.1580000000000004</v>
      </c>
      <c r="C37">
        <v>11788</v>
      </c>
      <c r="D37" s="4">
        <f t="shared" si="0"/>
        <v>6.1586520257478226</v>
      </c>
      <c r="F37">
        <f t="shared" si="3"/>
        <v>6.1392464975388101</v>
      </c>
      <c r="H37" s="5"/>
    </row>
    <row r="38" spans="1:8" x14ac:dyDescent="0.35">
      <c r="A38" t="s">
        <v>14</v>
      </c>
      <c r="B38">
        <v>6.2590000000000003</v>
      </c>
      <c r="C38">
        <v>11894</v>
      </c>
      <c r="D38" s="4">
        <f t="shared" si="0"/>
        <v>6.258992805755395</v>
      </c>
      <c r="F38">
        <f t="shared" si="3"/>
        <v>6.2395872775463825</v>
      </c>
      <c r="H38" s="5"/>
    </row>
    <row r="39" spans="1:8" x14ac:dyDescent="0.35">
      <c r="A39" t="s">
        <v>14</v>
      </c>
      <c r="B39">
        <v>6.1219999999999999</v>
      </c>
      <c r="C39">
        <v>11749</v>
      </c>
      <c r="D39" s="4">
        <f t="shared" si="0"/>
        <v>6.1217341915940926</v>
      </c>
      <c r="F39">
        <f>D39-$E$32-$E$132</f>
        <v>6.1023286633850802</v>
      </c>
      <c r="H39" s="5"/>
    </row>
    <row r="40" spans="1:8" x14ac:dyDescent="0.35">
      <c r="A40" t="s">
        <v>10</v>
      </c>
      <c r="B40">
        <v>0</v>
      </c>
      <c r="C40">
        <v>5282</v>
      </c>
      <c r="D40" s="4">
        <f t="shared" si="0"/>
        <v>0</v>
      </c>
      <c r="H40" s="5"/>
    </row>
    <row r="41" spans="1:8" x14ac:dyDescent="0.35">
      <c r="A41" t="s">
        <v>10</v>
      </c>
      <c r="B41">
        <v>0</v>
      </c>
      <c r="C41">
        <v>5282</v>
      </c>
      <c r="D41" s="4">
        <f t="shared" si="0"/>
        <v>0</v>
      </c>
      <c r="H41" s="5"/>
    </row>
    <row r="42" spans="1:8" x14ac:dyDescent="0.35">
      <c r="A42" t="s">
        <v>15</v>
      </c>
      <c r="B42">
        <v>0.02</v>
      </c>
      <c r="C42">
        <v>5303</v>
      </c>
      <c r="D42" s="4">
        <f t="shared" si="0"/>
        <v>1.9878833775085192E-2</v>
      </c>
      <c r="E42">
        <f>AVERAGE(D42:D44)</f>
        <v>1.6723463334595477E-2</v>
      </c>
      <c r="H42" s="5"/>
    </row>
    <row r="43" spans="1:8" x14ac:dyDescent="0.35">
      <c r="A43" t="s">
        <v>15</v>
      </c>
      <c r="B43">
        <v>3.5000000000000003E-2</v>
      </c>
      <c r="C43">
        <v>5319</v>
      </c>
      <c r="D43" s="4">
        <f t="shared" si="0"/>
        <v>3.5024611889435814E-2</v>
      </c>
      <c r="H43" s="5"/>
    </row>
    <row r="44" spans="1:8" x14ac:dyDescent="0.35">
      <c r="A44" t="s">
        <v>15</v>
      </c>
      <c r="B44">
        <v>-5.0000000000000001E-3</v>
      </c>
      <c r="C44">
        <v>5277</v>
      </c>
      <c r="D44" s="4">
        <f t="shared" si="0"/>
        <v>-4.7330556607345703E-3</v>
      </c>
      <c r="H44" s="5"/>
    </row>
    <row r="45" spans="1:8" x14ac:dyDescent="0.35">
      <c r="A45" t="s">
        <v>15</v>
      </c>
      <c r="B45">
        <v>7.0410000000000004</v>
      </c>
      <c r="C45">
        <v>12720</v>
      </c>
      <c r="D45" s="4">
        <f t="shared" si="0"/>
        <v>7.0408936009087464</v>
      </c>
      <c r="F45">
        <f>D45-$E$42-$E$134</f>
        <v>7.0284298876688123</v>
      </c>
      <c r="G45">
        <f>AVERAGE(F45:F49)</f>
        <v>6.8313454499558244</v>
      </c>
      <c r="H45" s="5">
        <f>STDEV(F45:F49)</f>
        <v>0.16517943835927268</v>
      </c>
    </row>
    <row r="46" spans="1:8" x14ac:dyDescent="0.35">
      <c r="A46" t="s">
        <v>15</v>
      </c>
      <c r="B46">
        <v>6.7729999999999997</v>
      </c>
      <c r="C46">
        <v>12437</v>
      </c>
      <c r="D46" s="4">
        <f t="shared" si="0"/>
        <v>6.7730026505111693</v>
      </c>
      <c r="F46">
        <f t="shared" ref="F46:F49" si="4">D46-$E$42-$E$134</f>
        <v>6.7605389372712352</v>
      </c>
      <c r="H46" s="5"/>
    </row>
    <row r="47" spans="1:8" x14ac:dyDescent="0.35">
      <c r="A47" t="s">
        <v>15</v>
      </c>
      <c r="B47">
        <v>6.9470000000000001</v>
      </c>
      <c r="C47">
        <v>12621</v>
      </c>
      <c r="D47" s="4">
        <f t="shared" si="0"/>
        <v>6.9471790988262017</v>
      </c>
      <c r="F47">
        <f t="shared" si="4"/>
        <v>6.9347153855862675</v>
      </c>
      <c r="H47" s="5"/>
    </row>
    <row r="48" spans="1:8" x14ac:dyDescent="0.35">
      <c r="A48" t="s">
        <v>15</v>
      </c>
      <c r="B48">
        <v>6.8479999999999999</v>
      </c>
      <c r="C48">
        <v>12516</v>
      </c>
      <c r="D48" s="4">
        <f t="shared" si="0"/>
        <v>6.8477849299507758</v>
      </c>
      <c r="F48">
        <f t="shared" si="4"/>
        <v>6.8353212167108417</v>
      </c>
      <c r="H48" s="5"/>
    </row>
    <row r="49" spans="1:8" x14ac:dyDescent="0.35">
      <c r="A49" t="s">
        <v>15</v>
      </c>
      <c r="B49">
        <v>6.61</v>
      </c>
      <c r="C49">
        <v>12265</v>
      </c>
      <c r="D49" s="4">
        <f t="shared" si="0"/>
        <v>6.6101855357819002</v>
      </c>
      <c r="F49">
        <f t="shared" si="4"/>
        <v>6.597721822541966</v>
      </c>
      <c r="H49" s="5"/>
    </row>
    <row r="50" spans="1:8" x14ac:dyDescent="0.35">
      <c r="A50" t="s">
        <v>10</v>
      </c>
      <c r="B50">
        <v>0</v>
      </c>
      <c r="C50">
        <v>5282</v>
      </c>
      <c r="D50" s="4">
        <f t="shared" si="0"/>
        <v>0</v>
      </c>
      <c r="H50" s="5"/>
    </row>
    <row r="51" spans="1:8" x14ac:dyDescent="0.35">
      <c r="A51" t="s">
        <v>10</v>
      </c>
      <c r="B51">
        <v>0</v>
      </c>
      <c r="C51">
        <v>5282</v>
      </c>
      <c r="D51" s="4">
        <f t="shared" si="0"/>
        <v>0</v>
      </c>
      <c r="H51" s="5"/>
    </row>
    <row r="52" spans="1:8" x14ac:dyDescent="0.35">
      <c r="A52" t="s">
        <v>16</v>
      </c>
      <c r="B52">
        <v>1.4999999999999999E-2</v>
      </c>
      <c r="C52">
        <v>5298</v>
      </c>
      <c r="D52" s="4">
        <f t="shared" si="0"/>
        <v>1.5145778114350623E-2</v>
      </c>
      <c r="E52">
        <f>AVERAGE(D52:D54)</f>
        <v>1.3883629938154738E-2</v>
      </c>
      <c r="H52" s="5"/>
    </row>
    <row r="53" spans="1:8" x14ac:dyDescent="0.35">
      <c r="A53" t="s">
        <v>16</v>
      </c>
      <c r="B53">
        <v>3.1E-2</v>
      </c>
      <c r="C53">
        <v>5315</v>
      </c>
      <c r="D53" s="4">
        <f t="shared" si="0"/>
        <v>3.1238167360848161E-2</v>
      </c>
      <c r="H53" s="5"/>
    </row>
    <row r="54" spans="1:8" x14ac:dyDescent="0.35">
      <c r="A54" t="s">
        <v>16</v>
      </c>
      <c r="B54">
        <v>-5.0000000000000001E-3</v>
      </c>
      <c r="C54">
        <v>5277</v>
      </c>
      <c r="D54" s="4">
        <f t="shared" si="0"/>
        <v>-4.7330556607345703E-3</v>
      </c>
      <c r="H54" s="5"/>
    </row>
    <row r="55" spans="1:8" x14ac:dyDescent="0.35">
      <c r="A55" t="s">
        <v>16</v>
      </c>
      <c r="B55">
        <v>8.0869999999999997</v>
      </c>
      <c r="C55">
        <v>13825</v>
      </c>
      <c r="D55" s="4">
        <f t="shared" si="0"/>
        <v>8.086898901931086</v>
      </c>
      <c r="F55">
        <f>D55-$E$52-$E$136</f>
        <v>8.0720686608607846</v>
      </c>
      <c r="G55">
        <f>AVERAGE(F55:F59)</f>
        <v>7.6152341284866836</v>
      </c>
      <c r="H55" s="5">
        <f>STDEV(F55:F59)</f>
        <v>0.34119757537963497</v>
      </c>
    </row>
    <row r="56" spans="1:8" x14ac:dyDescent="0.35">
      <c r="A56" t="s">
        <v>16</v>
      </c>
      <c r="B56">
        <v>7.3840000000000003</v>
      </c>
      <c r="C56">
        <v>13083</v>
      </c>
      <c r="D56" s="4">
        <f t="shared" si="0"/>
        <v>7.3845134418780756</v>
      </c>
      <c r="F56">
        <f t="shared" ref="F56:F59" si="5">D56-$E$52-$E$136</f>
        <v>7.3696832008077742</v>
      </c>
      <c r="H56" s="5"/>
    </row>
    <row r="57" spans="1:8" x14ac:dyDescent="0.35">
      <c r="A57" t="s">
        <v>16</v>
      </c>
      <c r="B57">
        <v>7.8890000000000002</v>
      </c>
      <c r="C57">
        <v>13616</v>
      </c>
      <c r="D57" s="4">
        <f t="shared" si="0"/>
        <v>7.8890571753123808</v>
      </c>
      <c r="F57">
        <f t="shared" si="5"/>
        <v>7.8742269342420794</v>
      </c>
      <c r="H57" s="5"/>
    </row>
    <row r="58" spans="1:8" x14ac:dyDescent="0.35">
      <c r="A58" t="s">
        <v>16</v>
      </c>
      <c r="B58">
        <v>7.492</v>
      </c>
      <c r="C58">
        <v>13197</v>
      </c>
      <c r="D58" s="4">
        <f t="shared" si="0"/>
        <v>7.492427110942824</v>
      </c>
      <c r="F58">
        <f>D58-$E$52-$E$136</f>
        <v>7.4775968698725226</v>
      </c>
      <c r="H58" s="5"/>
    </row>
    <row r="59" spans="1:8" x14ac:dyDescent="0.35">
      <c r="A59" t="s">
        <v>16</v>
      </c>
      <c r="B59">
        <v>7.2969999999999997</v>
      </c>
      <c r="C59">
        <v>12991</v>
      </c>
      <c r="D59" s="4">
        <f t="shared" si="0"/>
        <v>7.2974252177205594</v>
      </c>
      <c r="F59">
        <f t="shared" si="5"/>
        <v>7.282594976650258</v>
      </c>
      <c r="H59" s="5"/>
    </row>
    <row r="60" spans="1:8" x14ac:dyDescent="0.35">
      <c r="A60" t="s">
        <v>10</v>
      </c>
      <c r="B60">
        <v>0</v>
      </c>
      <c r="C60">
        <v>5282</v>
      </c>
      <c r="D60" s="4">
        <f t="shared" si="0"/>
        <v>0</v>
      </c>
      <c r="H60" s="5"/>
    </row>
    <row r="61" spans="1:8" x14ac:dyDescent="0.35">
      <c r="A61" t="s">
        <v>10</v>
      </c>
      <c r="B61">
        <v>0</v>
      </c>
      <c r="C61">
        <v>5282</v>
      </c>
      <c r="D61" s="4">
        <f t="shared" si="0"/>
        <v>0</v>
      </c>
      <c r="H61" s="5"/>
    </row>
    <row r="62" spans="1:8" x14ac:dyDescent="0.35">
      <c r="A62" t="s">
        <v>17</v>
      </c>
      <c r="B62">
        <v>0</v>
      </c>
      <c r="C62">
        <v>5282</v>
      </c>
      <c r="D62" s="4">
        <f t="shared" si="0"/>
        <v>0</v>
      </c>
      <c r="E62">
        <f>AVERAGE(D62:D64)</f>
        <v>5.9952038369304557E-3</v>
      </c>
      <c r="H62" s="5"/>
    </row>
    <row r="63" spans="1:8" x14ac:dyDescent="0.35">
      <c r="A63" t="s">
        <v>17</v>
      </c>
      <c r="B63">
        <v>2.7E-2</v>
      </c>
      <c r="C63">
        <v>5311</v>
      </c>
      <c r="D63" s="4">
        <f t="shared" si="0"/>
        <v>2.7451722832260505E-2</v>
      </c>
      <c r="H63" s="5"/>
    </row>
    <row r="64" spans="1:8" x14ac:dyDescent="0.35">
      <c r="A64" t="s">
        <v>17</v>
      </c>
      <c r="B64">
        <v>-8.9999999999999993E-3</v>
      </c>
      <c r="C64">
        <v>5272</v>
      </c>
      <c r="D64" s="4">
        <f t="shared" si="0"/>
        <v>-9.4661113214691405E-3</v>
      </c>
      <c r="H64" s="5"/>
    </row>
    <row r="65" spans="1:8" x14ac:dyDescent="0.35">
      <c r="A65" t="s">
        <v>17</v>
      </c>
      <c r="B65">
        <v>9.1</v>
      </c>
      <c r="C65">
        <v>14896</v>
      </c>
      <c r="D65" s="4">
        <f t="shared" si="0"/>
        <v>9.100719424460431</v>
      </c>
      <c r="F65">
        <f>D65-$E$62-$E$138</f>
        <v>9.1217026378896886</v>
      </c>
      <c r="G65">
        <f>AVERAGE(F65:F69)</f>
        <v>8.5344250915057422</v>
      </c>
      <c r="H65" s="5">
        <f>STDEV(F65:F69)</f>
        <v>0.44744056278771394</v>
      </c>
    </row>
    <row r="66" spans="1:8" x14ac:dyDescent="0.35">
      <c r="A66" t="s">
        <v>17</v>
      </c>
      <c r="B66">
        <v>8.1189999999999998</v>
      </c>
      <c r="C66">
        <v>13859</v>
      </c>
      <c r="D66" s="4">
        <f t="shared" si="0"/>
        <v>8.1190836804240814</v>
      </c>
      <c r="F66">
        <f t="shared" ref="F66:F68" si="6">D66-$E$62-$E$138</f>
        <v>8.1400668938533389</v>
      </c>
      <c r="H66" s="5"/>
    </row>
    <row r="67" spans="1:8" x14ac:dyDescent="0.35">
      <c r="A67" t="s">
        <v>17</v>
      </c>
      <c r="B67">
        <v>8.8759999999999994</v>
      </c>
      <c r="C67">
        <v>14659</v>
      </c>
      <c r="D67" s="4">
        <f t="shared" si="0"/>
        <v>8.8763725861416116</v>
      </c>
      <c r="F67">
        <f t="shared" si="6"/>
        <v>8.8973557995708692</v>
      </c>
      <c r="H67" s="5"/>
    </row>
    <row r="68" spans="1:8" x14ac:dyDescent="0.35">
      <c r="A68" t="s">
        <v>17</v>
      </c>
      <c r="B68">
        <v>8.32</v>
      </c>
      <c r="C68">
        <v>14071</v>
      </c>
      <c r="D68" s="4">
        <f t="shared" si="0"/>
        <v>8.3197652404392262</v>
      </c>
      <c r="F68">
        <f t="shared" si="6"/>
        <v>8.3407484538684837</v>
      </c>
      <c r="H68" s="5"/>
    </row>
    <row r="69" spans="1:8" x14ac:dyDescent="0.35">
      <c r="A69" t="s">
        <v>17</v>
      </c>
      <c r="B69">
        <v>8.1509999999999998</v>
      </c>
      <c r="C69">
        <v>13893</v>
      </c>
      <c r="D69" s="4">
        <f t="shared" ref="D69:D132" si="7">(C69-5282)/1056.4</f>
        <v>8.1512684589170767</v>
      </c>
      <c r="F69">
        <f>D69-$E$62-$E$138</f>
        <v>8.1722516723463343</v>
      </c>
      <c r="H69" s="5"/>
    </row>
    <row r="70" spans="1:8" x14ac:dyDescent="0.35">
      <c r="A70" t="s">
        <v>10</v>
      </c>
      <c r="B70">
        <v>0</v>
      </c>
      <c r="C70">
        <v>5282</v>
      </c>
      <c r="D70" s="4">
        <f t="shared" si="7"/>
        <v>0</v>
      </c>
      <c r="H70" s="5"/>
    </row>
    <row r="71" spans="1:8" x14ac:dyDescent="0.35">
      <c r="A71" t="s">
        <v>10</v>
      </c>
      <c r="B71">
        <v>0</v>
      </c>
      <c r="C71">
        <v>5282</v>
      </c>
      <c r="D71" s="4">
        <f t="shared" si="7"/>
        <v>0</v>
      </c>
      <c r="H71" s="5"/>
    </row>
    <row r="72" spans="1:8" x14ac:dyDescent="0.35">
      <c r="A72" t="s">
        <v>18</v>
      </c>
      <c r="B72">
        <v>2.7E-2</v>
      </c>
      <c r="C72">
        <v>5311</v>
      </c>
      <c r="D72" s="4">
        <f t="shared" si="7"/>
        <v>2.7451722832260505E-2</v>
      </c>
      <c r="E72">
        <f>AVERAGE(D72:D74)</f>
        <v>3.4709074845386836E-3</v>
      </c>
      <c r="H72" s="5"/>
    </row>
    <row r="73" spans="1:8" x14ac:dyDescent="0.35">
      <c r="A73" t="s">
        <v>18</v>
      </c>
      <c r="B73">
        <v>0.01</v>
      </c>
      <c r="C73">
        <v>5293</v>
      </c>
      <c r="D73" s="4">
        <f t="shared" si="7"/>
        <v>1.0412722453616054E-2</v>
      </c>
      <c r="H73" s="5"/>
    </row>
    <row r="74" spans="1:8" x14ac:dyDescent="0.35">
      <c r="A74" t="s">
        <v>18</v>
      </c>
      <c r="B74">
        <v>-2.7E-2</v>
      </c>
      <c r="C74">
        <v>5253</v>
      </c>
      <c r="D74" s="4">
        <f t="shared" si="7"/>
        <v>-2.7451722832260505E-2</v>
      </c>
      <c r="H74" s="5"/>
    </row>
    <row r="75" spans="1:8" x14ac:dyDescent="0.35">
      <c r="A75" t="s">
        <v>18</v>
      </c>
      <c r="B75">
        <v>11.074</v>
      </c>
      <c r="C75">
        <v>16981</v>
      </c>
      <c r="D75" s="4">
        <f t="shared" si="7"/>
        <v>11.074403634986746</v>
      </c>
      <c r="F75">
        <f>D75-$E$72-$E$140</f>
        <v>11.080398838823676</v>
      </c>
      <c r="G75">
        <f>AVERAGE(F75:F79)</f>
        <v>10.344692666919094</v>
      </c>
      <c r="H75" s="5">
        <f>STDEV(F75:F79)</f>
        <v>0.57304283738278805</v>
      </c>
    </row>
    <row r="76" spans="1:8" x14ac:dyDescent="0.35">
      <c r="A76" t="s">
        <v>18</v>
      </c>
      <c r="B76">
        <v>9.8079999999999998</v>
      </c>
      <c r="C76">
        <v>15643</v>
      </c>
      <c r="D76" s="4">
        <f t="shared" si="7"/>
        <v>9.807837940174176</v>
      </c>
      <c r="F76">
        <f t="shared" ref="F76:F79" si="8">D76-$E$72-$E$140</f>
        <v>9.813833144011106</v>
      </c>
      <c r="H76" s="5"/>
    </row>
    <row r="77" spans="1:8" x14ac:dyDescent="0.35">
      <c r="A77" t="s">
        <v>18</v>
      </c>
      <c r="B77">
        <v>10.833</v>
      </c>
      <c r="C77">
        <v>16726</v>
      </c>
      <c r="D77" s="4">
        <f t="shared" si="7"/>
        <v>10.833017796289283</v>
      </c>
      <c r="F77">
        <f t="shared" si="8"/>
        <v>10.839013000126213</v>
      </c>
      <c r="H77" s="5"/>
    </row>
    <row r="78" spans="1:8" x14ac:dyDescent="0.35">
      <c r="A78" t="s">
        <v>18</v>
      </c>
      <c r="B78">
        <v>9.9600000000000009</v>
      </c>
      <c r="C78">
        <v>15804</v>
      </c>
      <c r="D78" s="4">
        <f t="shared" si="7"/>
        <v>9.9602423324498286</v>
      </c>
      <c r="F78">
        <f t="shared" si="8"/>
        <v>9.9662375362867586</v>
      </c>
      <c r="H78" s="5"/>
    </row>
    <row r="79" spans="1:8" x14ac:dyDescent="0.35">
      <c r="A79" t="s">
        <v>18</v>
      </c>
      <c r="B79">
        <v>10.018000000000001</v>
      </c>
      <c r="C79">
        <v>15865</v>
      </c>
      <c r="D79" s="4">
        <f t="shared" si="7"/>
        <v>10.01798561151079</v>
      </c>
      <c r="F79">
        <f t="shared" si="8"/>
        <v>10.02398081534772</v>
      </c>
      <c r="H79" s="5"/>
    </row>
    <row r="80" spans="1:8" x14ac:dyDescent="0.35">
      <c r="A80" t="s">
        <v>10</v>
      </c>
      <c r="B80">
        <v>0</v>
      </c>
      <c r="C80">
        <v>5282</v>
      </c>
      <c r="D80" s="4">
        <f t="shared" si="7"/>
        <v>0</v>
      </c>
      <c r="H80" s="5"/>
    </row>
    <row r="81" spans="1:8" x14ac:dyDescent="0.35">
      <c r="A81" t="s">
        <v>10</v>
      </c>
      <c r="B81">
        <v>0</v>
      </c>
      <c r="C81">
        <v>5282</v>
      </c>
      <c r="D81" s="4">
        <f t="shared" si="7"/>
        <v>0</v>
      </c>
      <c r="H81" s="5"/>
    </row>
    <row r="82" spans="1:8" x14ac:dyDescent="0.35">
      <c r="A82" t="s">
        <v>19</v>
      </c>
      <c r="B82">
        <v>2.7E-2</v>
      </c>
      <c r="C82">
        <v>5311</v>
      </c>
      <c r="D82" s="4">
        <f t="shared" si="7"/>
        <v>2.7451722832260505E-2</v>
      </c>
      <c r="E82">
        <f>AVERAGE(D82:D84)</f>
        <v>2.429635239177079E-2</v>
      </c>
      <c r="H82" s="5"/>
    </row>
    <row r="83" spans="1:8" x14ac:dyDescent="0.35">
      <c r="A83" t="s">
        <v>19</v>
      </c>
      <c r="B83">
        <v>3.4000000000000002E-2</v>
      </c>
      <c r="C83">
        <v>5318</v>
      </c>
      <c r="D83" s="4">
        <f t="shared" si="7"/>
        <v>3.4078000757288902E-2</v>
      </c>
      <c r="H83" s="5"/>
    </row>
    <row r="84" spans="1:8" x14ac:dyDescent="0.35">
      <c r="A84" t="s">
        <v>19</v>
      </c>
      <c r="B84">
        <v>1.0999999999999999E-2</v>
      </c>
      <c r="C84">
        <v>5294</v>
      </c>
      <c r="D84" s="4">
        <f t="shared" si="7"/>
        <v>1.1359333585762967E-2</v>
      </c>
      <c r="H84" s="5"/>
    </row>
    <row r="85" spans="1:8" x14ac:dyDescent="0.35">
      <c r="A85" t="s">
        <v>19</v>
      </c>
      <c r="B85">
        <v>12.018000000000001</v>
      </c>
      <c r="C85">
        <v>17978</v>
      </c>
      <c r="D85" s="4">
        <f t="shared" si="7"/>
        <v>12.018174933737219</v>
      </c>
      <c r="F85">
        <f>D85-$E$82-$E$142</f>
        <v>11.855200050485927</v>
      </c>
      <c r="G85">
        <f>AVERAGE(F85:F89)</f>
        <v>11.811087971727881</v>
      </c>
      <c r="H85" s="5">
        <f>STDEV(F85:F89)</f>
        <v>6.8046132362112668E-2</v>
      </c>
    </row>
    <row r="86" spans="1:8" x14ac:dyDescent="0.35">
      <c r="A86" t="s">
        <v>19</v>
      </c>
      <c r="B86">
        <v>11.891999999999999</v>
      </c>
      <c r="C86">
        <v>17845</v>
      </c>
      <c r="D86" s="4">
        <f t="shared" si="7"/>
        <v>11.892275653161681</v>
      </c>
      <c r="F86">
        <f t="shared" ref="F86:F89" si="9">D86-$E$82-$E$142</f>
        <v>11.729300769910388</v>
      </c>
      <c r="H86" s="5"/>
    </row>
    <row r="87" spans="1:8" x14ac:dyDescent="0.35">
      <c r="A87" t="s">
        <v>19</v>
      </c>
      <c r="B87">
        <v>12.026999999999999</v>
      </c>
      <c r="C87">
        <v>17988</v>
      </c>
      <c r="D87" s="4">
        <f t="shared" si="7"/>
        <v>12.027641045058688</v>
      </c>
      <c r="F87">
        <f t="shared" si="9"/>
        <v>11.864666161807396</v>
      </c>
      <c r="H87" s="5"/>
    </row>
    <row r="88" spans="1:8" x14ac:dyDescent="0.35">
      <c r="A88" t="s">
        <v>19</v>
      </c>
      <c r="B88">
        <v>12.023999999999999</v>
      </c>
      <c r="C88">
        <v>17985</v>
      </c>
      <c r="D88" s="4">
        <f t="shared" si="7"/>
        <v>12.024801211662249</v>
      </c>
      <c r="F88">
        <f>D88-$E$82-$E$142</f>
        <v>11.861826328410956</v>
      </c>
      <c r="H88" s="5"/>
    </row>
    <row r="89" spans="1:8" x14ac:dyDescent="0.35">
      <c r="A89" t="s">
        <v>19</v>
      </c>
      <c r="B89">
        <v>11.907</v>
      </c>
      <c r="C89">
        <v>17861</v>
      </c>
      <c r="D89" s="4">
        <f t="shared" si="7"/>
        <v>11.907421431276031</v>
      </c>
      <c r="F89">
        <f t="shared" si="9"/>
        <v>11.744446548024738</v>
      </c>
      <c r="H89" s="5"/>
    </row>
    <row r="90" spans="1:8" x14ac:dyDescent="0.35">
      <c r="A90" t="s">
        <v>10</v>
      </c>
      <c r="B90">
        <v>0</v>
      </c>
      <c r="C90">
        <v>5282</v>
      </c>
      <c r="D90" s="4">
        <f t="shared" si="7"/>
        <v>0</v>
      </c>
      <c r="H90" s="5"/>
    </row>
    <row r="91" spans="1:8" x14ac:dyDescent="0.35">
      <c r="A91" t="s">
        <v>10</v>
      </c>
      <c r="B91">
        <v>0</v>
      </c>
      <c r="C91">
        <v>5282</v>
      </c>
      <c r="D91" s="4">
        <f t="shared" si="7"/>
        <v>0</v>
      </c>
      <c r="H91" s="5"/>
    </row>
    <row r="92" spans="1:8" x14ac:dyDescent="0.35">
      <c r="A92" t="s">
        <v>10</v>
      </c>
      <c r="B92">
        <v>0</v>
      </c>
      <c r="C92">
        <v>5282</v>
      </c>
      <c r="D92" s="4">
        <f t="shared" si="7"/>
        <v>0</v>
      </c>
      <c r="H92" s="5"/>
    </row>
    <row r="93" spans="1:8" x14ac:dyDescent="0.35">
      <c r="A93" t="s">
        <v>10</v>
      </c>
      <c r="B93">
        <v>0</v>
      </c>
      <c r="C93">
        <v>5282</v>
      </c>
      <c r="D93" s="4">
        <f t="shared" si="7"/>
        <v>0</v>
      </c>
      <c r="H93" s="5"/>
    </row>
    <row r="94" spans="1:8" x14ac:dyDescent="0.35">
      <c r="A94" t="s">
        <v>10</v>
      </c>
      <c r="B94">
        <v>0</v>
      </c>
      <c r="C94">
        <v>5282</v>
      </c>
      <c r="D94" s="4">
        <f t="shared" si="7"/>
        <v>0</v>
      </c>
      <c r="H94" s="5"/>
    </row>
    <row r="95" spans="1:8" x14ac:dyDescent="0.35">
      <c r="A95" t="s">
        <v>10</v>
      </c>
      <c r="B95">
        <v>0</v>
      </c>
      <c r="C95">
        <v>5282</v>
      </c>
      <c r="D95" s="4">
        <f t="shared" si="7"/>
        <v>0</v>
      </c>
      <c r="H95" s="5"/>
    </row>
    <row r="96" spans="1:8" x14ac:dyDescent="0.35">
      <c r="A96" t="s">
        <v>10</v>
      </c>
      <c r="B96">
        <v>0</v>
      </c>
      <c r="C96">
        <v>5282</v>
      </c>
      <c r="D96" s="4">
        <f t="shared" si="7"/>
        <v>0</v>
      </c>
      <c r="H96" s="5"/>
    </row>
    <row r="97" spans="1:8" x14ac:dyDescent="0.35">
      <c r="A97" t="s">
        <v>10</v>
      </c>
      <c r="B97">
        <v>0</v>
      </c>
      <c r="C97">
        <v>5282</v>
      </c>
      <c r="D97" s="4">
        <f t="shared" si="7"/>
        <v>0</v>
      </c>
      <c r="H97" s="5"/>
    </row>
    <row r="98" spans="1:8" x14ac:dyDescent="0.35">
      <c r="A98" t="s">
        <v>20</v>
      </c>
      <c r="B98">
        <v>6.4000000000000001E-2</v>
      </c>
      <c r="C98">
        <v>5350</v>
      </c>
      <c r="D98" s="4">
        <f t="shared" si="7"/>
        <v>6.4369556985990145E-2</v>
      </c>
      <c r="E98">
        <f>AVERAGE(D98:D100)</f>
        <v>3.6917834153729644E-2</v>
      </c>
      <c r="H98" s="5"/>
    </row>
    <row r="99" spans="1:8" x14ac:dyDescent="0.35">
      <c r="A99" t="s">
        <v>20</v>
      </c>
      <c r="B99">
        <v>4.1000000000000002E-2</v>
      </c>
      <c r="C99">
        <v>5325</v>
      </c>
      <c r="D99" s="4">
        <f t="shared" si="7"/>
        <v>4.0704278682317303E-2</v>
      </c>
      <c r="H99" s="5"/>
    </row>
    <row r="100" spans="1:8" x14ac:dyDescent="0.35">
      <c r="A100" t="s">
        <v>20</v>
      </c>
      <c r="B100">
        <v>6.0000000000000001E-3</v>
      </c>
      <c r="C100">
        <v>5288</v>
      </c>
      <c r="D100" s="4">
        <f t="shared" si="7"/>
        <v>5.6796667928814834E-3</v>
      </c>
      <c r="H100" s="5"/>
    </row>
    <row r="101" spans="1:8" x14ac:dyDescent="0.35">
      <c r="A101" t="s">
        <v>20</v>
      </c>
      <c r="B101">
        <v>11.858000000000001</v>
      </c>
      <c r="C101">
        <v>17809</v>
      </c>
      <c r="D101" s="4">
        <f t="shared" si="7"/>
        <v>11.858197652404391</v>
      </c>
      <c r="F101">
        <f>D101-$E$98-$E$144</f>
        <v>11.542502839833395</v>
      </c>
      <c r="G101">
        <f>AVERAGE(F101:F105)</f>
        <v>11.612741385838696</v>
      </c>
      <c r="H101" s="5">
        <f>STDEV(F101:F105)</f>
        <v>8.2097439317398241E-2</v>
      </c>
    </row>
    <row r="102" spans="1:8" x14ac:dyDescent="0.35">
      <c r="A102" t="s">
        <v>20</v>
      </c>
      <c r="B102">
        <v>11.878</v>
      </c>
      <c r="C102">
        <v>17830</v>
      </c>
      <c r="D102" s="4">
        <f t="shared" si="7"/>
        <v>11.878076486179477</v>
      </c>
      <c r="F102">
        <f t="shared" ref="F102:F105" si="10">D102-$E$98-$E$144</f>
        <v>11.562381673608481</v>
      </c>
      <c r="H102" s="5"/>
    </row>
    <row r="103" spans="1:8" x14ac:dyDescent="0.35">
      <c r="A103" t="s">
        <v>20</v>
      </c>
      <c r="B103">
        <v>12.007</v>
      </c>
      <c r="C103">
        <v>17967</v>
      </c>
      <c r="D103" s="4">
        <f t="shared" si="7"/>
        <v>12.007762211283604</v>
      </c>
      <c r="F103">
        <f t="shared" si="10"/>
        <v>11.692067398712608</v>
      </c>
      <c r="H103" s="5"/>
    </row>
    <row r="104" spans="1:8" x14ac:dyDescent="0.35">
      <c r="A104" t="s">
        <v>20</v>
      </c>
      <c r="B104">
        <v>12.026999999999999</v>
      </c>
      <c r="C104">
        <v>17988</v>
      </c>
      <c r="D104" s="4">
        <f t="shared" si="7"/>
        <v>12.027641045058688</v>
      </c>
      <c r="F104">
        <f t="shared" si="10"/>
        <v>11.711946232487692</v>
      </c>
      <c r="H104" s="5"/>
    </row>
    <row r="105" spans="1:8" x14ac:dyDescent="0.35">
      <c r="A105" t="s">
        <v>20</v>
      </c>
      <c r="B105">
        <v>11.87</v>
      </c>
      <c r="C105">
        <v>17822</v>
      </c>
      <c r="D105" s="4">
        <f t="shared" si="7"/>
        <v>11.870503597122301</v>
      </c>
      <c r="F105">
        <f t="shared" si="10"/>
        <v>11.554808784551305</v>
      </c>
      <c r="H105" s="5"/>
    </row>
    <row r="106" spans="1:8" x14ac:dyDescent="0.35">
      <c r="A106" t="s">
        <v>10</v>
      </c>
      <c r="B106">
        <v>0</v>
      </c>
      <c r="C106">
        <v>5430</v>
      </c>
      <c r="D106" s="4">
        <v>0</v>
      </c>
      <c r="H106" s="5"/>
    </row>
    <row r="107" spans="1:8" x14ac:dyDescent="0.35">
      <c r="A107" t="s">
        <v>10</v>
      </c>
      <c r="B107">
        <v>0</v>
      </c>
      <c r="C107">
        <v>5430</v>
      </c>
      <c r="D107" s="4">
        <v>0</v>
      </c>
      <c r="H107" s="5"/>
    </row>
    <row r="108" spans="1:8" x14ac:dyDescent="0.35">
      <c r="A108" t="s">
        <v>35</v>
      </c>
      <c r="B108">
        <v>7.8E-2</v>
      </c>
      <c r="C108">
        <v>5512</v>
      </c>
      <c r="D108" s="4">
        <f t="shared" si="7"/>
        <v>0.2177205603937902</v>
      </c>
      <c r="E108">
        <f>AVERAGE(D108:D110)</f>
        <v>0.18490470781269719</v>
      </c>
      <c r="H108" s="5"/>
    </row>
    <row r="109" spans="1:8" x14ac:dyDescent="0.35">
      <c r="A109" t="s">
        <v>35</v>
      </c>
      <c r="B109">
        <v>4.2999999999999997E-2</v>
      </c>
      <c r="C109">
        <v>5475</v>
      </c>
      <c r="D109" s="4">
        <f t="shared" si="7"/>
        <v>0.18269594850435439</v>
      </c>
      <c r="H109" s="5"/>
    </row>
    <row r="110" spans="1:8" x14ac:dyDescent="0.35">
      <c r="A110" t="s">
        <v>35</v>
      </c>
      <c r="B110">
        <v>1.4E-2</v>
      </c>
      <c r="C110">
        <v>5445</v>
      </c>
      <c r="D110" s="4">
        <f t="shared" si="7"/>
        <v>0.15429761453994698</v>
      </c>
      <c r="H110" s="5"/>
    </row>
    <row r="111" spans="1:8" x14ac:dyDescent="0.35">
      <c r="A111" t="s">
        <v>35</v>
      </c>
      <c r="B111">
        <v>11.644</v>
      </c>
      <c r="C111">
        <v>17654</v>
      </c>
      <c r="D111" s="4">
        <f t="shared" si="7"/>
        <v>11.711472926921619</v>
      </c>
      <c r="F111">
        <f>D111-$E$108-$E$146</f>
        <v>11.326833270225924</v>
      </c>
      <c r="G111">
        <f>AVERAGE(F111:F115)</f>
        <v>11.331944970339517</v>
      </c>
      <c r="H111" s="5">
        <f>STDEV(F111:F115)</f>
        <v>5.1906754863262156E-2</v>
      </c>
    </row>
    <row r="112" spans="1:8" x14ac:dyDescent="0.35">
      <c r="A112" t="s">
        <v>35</v>
      </c>
      <c r="B112">
        <v>11.651999999999999</v>
      </c>
      <c r="C112">
        <v>17662</v>
      </c>
      <c r="D112" s="4">
        <f t="shared" si="7"/>
        <v>11.719045815978795</v>
      </c>
      <c r="F112">
        <f t="shared" ref="F112:F115" si="11">D112-$E$108-$E$146</f>
        <v>11.3344061592831</v>
      </c>
      <c r="H112" s="5"/>
    </row>
    <row r="113" spans="1:8" x14ac:dyDescent="0.35">
      <c r="A113" t="s">
        <v>35</v>
      </c>
      <c r="B113">
        <v>11.69</v>
      </c>
      <c r="C113">
        <v>17702</v>
      </c>
      <c r="D113" s="4">
        <f t="shared" si="7"/>
        <v>11.756910261264672</v>
      </c>
      <c r="F113">
        <f t="shared" si="11"/>
        <v>11.372270604568977</v>
      </c>
      <c r="H113" s="5"/>
    </row>
    <row r="114" spans="1:8" x14ac:dyDescent="0.35">
      <c r="A114" t="s">
        <v>35</v>
      </c>
      <c r="B114">
        <v>11.565</v>
      </c>
      <c r="C114">
        <v>17571</v>
      </c>
      <c r="D114" s="4">
        <f t="shared" si="7"/>
        <v>11.632904202953426</v>
      </c>
      <c r="F114">
        <f t="shared" si="11"/>
        <v>11.248264546257731</v>
      </c>
      <c r="H114" s="5"/>
    </row>
    <row r="115" spans="1:8" x14ac:dyDescent="0.35">
      <c r="A115" t="s">
        <v>35</v>
      </c>
      <c r="B115">
        <v>11.696</v>
      </c>
      <c r="C115">
        <v>17708</v>
      </c>
      <c r="D115" s="4">
        <f t="shared" si="7"/>
        <v>11.762589928057553</v>
      </c>
      <c r="F115">
        <f t="shared" si="11"/>
        <v>11.377950271361858</v>
      </c>
      <c r="H115" s="5"/>
    </row>
    <row r="116" spans="1:8" x14ac:dyDescent="0.35">
      <c r="A116" t="s">
        <v>10</v>
      </c>
      <c r="B116">
        <v>0</v>
      </c>
      <c r="C116">
        <v>5282</v>
      </c>
      <c r="D116" s="4">
        <f t="shared" si="7"/>
        <v>0</v>
      </c>
      <c r="H116" s="5"/>
    </row>
    <row r="117" spans="1:8" x14ac:dyDescent="0.35">
      <c r="A117" t="s">
        <v>10</v>
      </c>
      <c r="B117">
        <v>0</v>
      </c>
      <c r="C117">
        <v>5282</v>
      </c>
      <c r="D117" s="4">
        <f t="shared" si="7"/>
        <v>0</v>
      </c>
      <c r="H117" s="5"/>
    </row>
    <row r="118" spans="1:8" x14ac:dyDescent="0.35">
      <c r="A118" t="s">
        <v>11</v>
      </c>
      <c r="B118">
        <v>7.1999999999999995E-2</v>
      </c>
      <c r="C118">
        <v>5358</v>
      </c>
      <c r="D118" s="4">
        <f t="shared" si="7"/>
        <v>7.1942446043165464E-2</v>
      </c>
      <c r="H118" s="5"/>
    </row>
    <row r="119" spans="1:8" x14ac:dyDescent="0.35">
      <c r="A119" t="s">
        <v>21</v>
      </c>
      <c r="B119">
        <v>5.0549999999999997</v>
      </c>
      <c r="C119">
        <v>10622</v>
      </c>
      <c r="D119" s="4">
        <f t="shared" si="7"/>
        <v>5.0549034456645208</v>
      </c>
      <c r="H119" s="5"/>
    </row>
    <row r="120" spans="1:8" x14ac:dyDescent="0.35">
      <c r="A120" t="s">
        <v>22</v>
      </c>
      <c r="B120">
        <v>10.16</v>
      </c>
      <c r="C120">
        <v>16015</v>
      </c>
      <c r="D120" s="4">
        <f t="shared" si="7"/>
        <v>10.159977281332827</v>
      </c>
      <c r="H120" s="5"/>
    </row>
    <row r="121" spans="1:8" x14ac:dyDescent="0.35">
      <c r="A121" t="s">
        <v>23</v>
      </c>
      <c r="B121">
        <v>20.385000000000002</v>
      </c>
      <c r="C121">
        <v>26817</v>
      </c>
      <c r="D121" s="4">
        <f t="shared" si="7"/>
        <v>20.385270730783791</v>
      </c>
      <c r="H121" s="5"/>
    </row>
    <row r="122" spans="1:8" x14ac:dyDescent="0.35">
      <c r="A122" t="s">
        <v>24</v>
      </c>
      <c r="B122">
        <v>30.797000000000001</v>
      </c>
      <c r="C122">
        <v>37817</v>
      </c>
      <c r="D122" s="4">
        <f t="shared" si="7"/>
        <v>30.797993184399846</v>
      </c>
      <c r="H122" s="5"/>
    </row>
    <row r="123" spans="1:8" x14ac:dyDescent="0.35">
      <c r="A123" t="s">
        <v>25</v>
      </c>
      <c r="B123">
        <v>50.475999999999999</v>
      </c>
      <c r="C123">
        <v>58607</v>
      </c>
      <c r="D123" s="4">
        <f t="shared" si="7"/>
        <v>50.478038621734186</v>
      </c>
      <c r="H123" s="5"/>
    </row>
    <row r="124" spans="1:8" x14ac:dyDescent="0.35">
      <c r="A124" t="s">
        <v>10</v>
      </c>
      <c r="B124">
        <v>0</v>
      </c>
      <c r="C124">
        <v>5282</v>
      </c>
      <c r="D124" s="4">
        <f t="shared" si="7"/>
        <v>0</v>
      </c>
      <c r="H124" s="5"/>
    </row>
    <row r="125" spans="1:8" x14ac:dyDescent="0.35">
      <c r="A125" t="s">
        <v>10</v>
      </c>
      <c r="B125">
        <v>0</v>
      </c>
      <c r="C125">
        <v>5282</v>
      </c>
      <c r="D125" s="4">
        <f t="shared" si="7"/>
        <v>0</v>
      </c>
      <c r="H125" s="5"/>
    </row>
    <row r="126" spans="1:8" x14ac:dyDescent="0.35">
      <c r="A126" t="s">
        <v>10</v>
      </c>
      <c r="B126">
        <v>0</v>
      </c>
      <c r="C126">
        <v>5282</v>
      </c>
      <c r="D126" s="4">
        <f t="shared" si="7"/>
        <v>0</v>
      </c>
      <c r="H126" s="5"/>
    </row>
    <row r="127" spans="1:8" x14ac:dyDescent="0.35">
      <c r="A127" t="s">
        <v>10</v>
      </c>
      <c r="B127">
        <v>0</v>
      </c>
      <c r="C127">
        <v>5282</v>
      </c>
      <c r="D127" s="4">
        <f t="shared" si="7"/>
        <v>0</v>
      </c>
      <c r="H127" s="5"/>
    </row>
    <row r="128" spans="1:8" x14ac:dyDescent="0.35">
      <c r="A128" t="s">
        <v>26</v>
      </c>
      <c r="B128">
        <v>1.0999999999999999E-2</v>
      </c>
      <c r="C128">
        <v>5294</v>
      </c>
      <c r="D128" s="4">
        <f t="shared" si="7"/>
        <v>1.1359333585762967E-2</v>
      </c>
      <c r="E128">
        <f>AVERAGE(D128:D129)</f>
        <v>1.1359333585762967E-2</v>
      </c>
      <c r="H128" s="5"/>
    </row>
    <row r="129" spans="1:8" x14ac:dyDescent="0.35">
      <c r="B129">
        <v>1.0999999999999999E-2</v>
      </c>
      <c r="C129">
        <v>5294</v>
      </c>
      <c r="D129" s="4">
        <f t="shared" si="7"/>
        <v>1.1359333585762967E-2</v>
      </c>
      <c r="H129" s="5"/>
    </row>
    <row r="130" spans="1:8" x14ac:dyDescent="0.35">
      <c r="A130" t="s">
        <v>27</v>
      </c>
      <c r="B130">
        <v>-2.4E-2</v>
      </c>
      <c r="C130">
        <v>5257</v>
      </c>
      <c r="D130" s="4">
        <f t="shared" si="7"/>
        <v>-2.3665278303672849E-2</v>
      </c>
      <c r="E130">
        <f>AVERAGE(D130:D131)</f>
        <v>-3.0291556228701246E-2</v>
      </c>
      <c r="H130" s="5"/>
    </row>
    <row r="131" spans="1:8" x14ac:dyDescent="0.35">
      <c r="B131">
        <v>-3.6999999999999998E-2</v>
      </c>
      <c r="C131">
        <v>5243</v>
      </c>
      <c r="D131" s="4">
        <f t="shared" si="7"/>
        <v>-3.6917834153729644E-2</v>
      </c>
      <c r="H131" s="5"/>
    </row>
    <row r="132" spans="1:8" x14ac:dyDescent="0.35">
      <c r="A132" t="s">
        <v>28</v>
      </c>
      <c r="B132">
        <v>-6.0000000000000001E-3</v>
      </c>
      <c r="C132">
        <v>5276</v>
      </c>
      <c r="D132" s="4">
        <f t="shared" si="7"/>
        <v>-5.6796667928814834E-3</v>
      </c>
      <c r="E132">
        <f>AVERAGE(D132:D133)</f>
        <v>1.4199166982203711E-3</v>
      </c>
      <c r="H132" s="5"/>
    </row>
    <row r="133" spans="1:8" x14ac:dyDescent="0.35">
      <c r="B133">
        <v>8.9999999999999993E-3</v>
      </c>
      <c r="C133">
        <v>5291</v>
      </c>
      <c r="D133" s="4">
        <f t="shared" ref="D133:D148" si="12">(C133-5282)/1056.4</f>
        <v>8.5195001893222256E-3</v>
      </c>
      <c r="H133" s="5"/>
    </row>
    <row r="134" spans="1:8" x14ac:dyDescent="0.35">
      <c r="A134" t="s">
        <v>29</v>
      </c>
      <c r="B134">
        <v>-1.2E-2</v>
      </c>
      <c r="C134">
        <v>5269</v>
      </c>
      <c r="D134" s="4">
        <f t="shared" si="12"/>
        <v>-1.2305944717909882E-2</v>
      </c>
      <c r="E134">
        <f>AVERAGE(D134:D135)</f>
        <v>-4.2597500946611128E-3</v>
      </c>
      <c r="H134" s="5"/>
    </row>
    <row r="135" spans="1:8" x14ac:dyDescent="0.35">
      <c r="B135">
        <v>4.0000000000000001E-3</v>
      </c>
      <c r="C135">
        <v>5286</v>
      </c>
      <c r="D135" s="4">
        <f t="shared" si="12"/>
        <v>3.7864445285876558E-3</v>
      </c>
      <c r="H135" s="5"/>
    </row>
    <row r="136" spans="1:8" x14ac:dyDescent="0.35">
      <c r="A136" t="s">
        <v>30</v>
      </c>
      <c r="B136">
        <v>8.9999999999999993E-3</v>
      </c>
      <c r="C136">
        <v>5291</v>
      </c>
      <c r="D136" s="4">
        <f t="shared" si="12"/>
        <v>8.5195001893222256E-3</v>
      </c>
      <c r="E136">
        <f>AVERAGE(D136:D137)</f>
        <v>9.4661113214691405E-4</v>
      </c>
      <c r="H136" s="5"/>
    </row>
    <row r="137" spans="1:8" x14ac:dyDescent="0.35">
      <c r="B137">
        <v>-7.0000000000000001E-3</v>
      </c>
      <c r="C137">
        <v>5275</v>
      </c>
      <c r="D137" s="4">
        <f t="shared" si="12"/>
        <v>-6.6262779250283975E-3</v>
      </c>
      <c r="H137" s="5"/>
    </row>
    <row r="138" spans="1:8" x14ac:dyDescent="0.35">
      <c r="A138" t="s">
        <v>31</v>
      </c>
      <c r="B138">
        <v>-0.04</v>
      </c>
      <c r="C138">
        <v>5240</v>
      </c>
      <c r="D138" s="4">
        <f t="shared" si="12"/>
        <v>-3.9757667550170385E-2</v>
      </c>
      <c r="E138">
        <f>AVERAGE(D138:D139)</f>
        <v>-2.6978417266187049E-2</v>
      </c>
      <c r="H138" s="5"/>
    </row>
    <row r="139" spans="1:8" x14ac:dyDescent="0.35">
      <c r="B139">
        <v>-1.4E-2</v>
      </c>
      <c r="C139">
        <v>5267</v>
      </c>
      <c r="D139" s="4">
        <f t="shared" si="12"/>
        <v>-1.419916698220371E-2</v>
      </c>
      <c r="H139" s="5"/>
    </row>
    <row r="140" spans="1:8" x14ac:dyDescent="0.35">
      <c r="A140" t="s">
        <v>32</v>
      </c>
      <c r="B140">
        <v>1.4999999999999999E-2</v>
      </c>
      <c r="C140">
        <v>5298</v>
      </c>
      <c r="D140" s="4">
        <f t="shared" si="12"/>
        <v>1.5145778114350623E-2</v>
      </c>
      <c r="E140">
        <f>AVERAGE(D140:D141)</f>
        <v>-9.4661113214691388E-3</v>
      </c>
      <c r="H140" s="5"/>
    </row>
    <row r="141" spans="1:8" x14ac:dyDescent="0.35">
      <c r="B141">
        <v>-3.4000000000000002E-2</v>
      </c>
      <c r="C141">
        <v>5246</v>
      </c>
      <c r="D141" s="4">
        <f t="shared" si="12"/>
        <v>-3.4078000757288902E-2</v>
      </c>
      <c r="H141" s="5"/>
    </row>
    <row r="142" spans="1:8" x14ac:dyDescent="0.35">
      <c r="A142" t="s">
        <v>33</v>
      </c>
      <c r="B142">
        <v>0.10199999999999999</v>
      </c>
      <c r="C142">
        <v>5390</v>
      </c>
      <c r="D142" s="4">
        <f t="shared" si="12"/>
        <v>0.10223400227186671</v>
      </c>
      <c r="E142">
        <f>AVERAGE(D142:D143)</f>
        <v>0.13867853085952292</v>
      </c>
      <c r="H142" s="5"/>
    </row>
    <row r="143" spans="1:8" x14ac:dyDescent="0.35">
      <c r="B143">
        <v>0.17499999999999999</v>
      </c>
      <c r="C143">
        <v>5467</v>
      </c>
      <c r="D143" s="4">
        <f t="shared" si="12"/>
        <v>0.1751230594471791</v>
      </c>
      <c r="H143" s="5"/>
    </row>
    <row r="144" spans="1:8" x14ac:dyDescent="0.35">
      <c r="A144" t="s">
        <v>34</v>
      </c>
      <c r="B144">
        <v>0.28399999999999997</v>
      </c>
      <c r="C144">
        <v>5582</v>
      </c>
      <c r="D144" s="4">
        <f t="shared" si="12"/>
        <v>0.28398333964407418</v>
      </c>
      <c r="E144">
        <f>AVERAGE(D144:D145)</f>
        <v>0.27877697841726612</v>
      </c>
      <c r="H144" s="5"/>
    </row>
    <row r="145" spans="1:8" x14ac:dyDescent="0.35">
      <c r="B145">
        <v>0.27400000000000002</v>
      </c>
      <c r="C145">
        <v>5571</v>
      </c>
      <c r="D145" s="4">
        <f t="shared" si="12"/>
        <v>0.27357061719045811</v>
      </c>
      <c r="H145" s="5"/>
    </row>
    <row r="146" spans="1:8" x14ac:dyDescent="0.35">
      <c r="A146" t="s">
        <v>54</v>
      </c>
      <c r="B146">
        <v>5.2999999999999999E-2</v>
      </c>
      <c r="C146">
        <v>5486</v>
      </c>
      <c r="D146" s="4">
        <f t="shared" si="12"/>
        <v>0.19310867095797044</v>
      </c>
      <c r="E146">
        <f>AVERAGE(D146:D147)</f>
        <v>0.19973494888299884</v>
      </c>
      <c r="H146" s="5"/>
    </row>
    <row r="147" spans="1:8" x14ac:dyDescent="0.35">
      <c r="B147">
        <v>6.7000000000000004E-2</v>
      </c>
      <c r="C147">
        <v>5500</v>
      </c>
      <c r="D147" s="4">
        <f t="shared" si="12"/>
        <v>0.20636122680802724</v>
      </c>
      <c r="H147" s="5"/>
    </row>
    <row r="148" spans="1:8" x14ac:dyDescent="0.35">
      <c r="B148">
        <v>8.4000000000000005E-2</v>
      </c>
      <c r="C148">
        <v>5518</v>
      </c>
      <c r="D148" s="7">
        <f t="shared" si="12"/>
        <v>0.22340022718667168</v>
      </c>
      <c r="E148" s="6"/>
      <c r="F148" s="6"/>
      <c r="G148" s="6"/>
      <c r="H148" s="8"/>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
  <sheetViews>
    <sheetView workbookViewId="0">
      <selection activeCell="I7" sqref="I7"/>
    </sheetView>
  </sheetViews>
  <sheetFormatPr baseColWidth="10" defaultRowHeight="14.5" x14ac:dyDescent="0.35"/>
  <cols>
    <col min="1" max="1" width="14" customWidth="1"/>
    <col min="3" max="3" width="17.1796875" customWidth="1"/>
    <col min="4" max="4" width="9.90625" customWidth="1"/>
    <col min="5" max="5" width="13.08984375" customWidth="1"/>
    <col min="6" max="6" width="13.453125" customWidth="1"/>
  </cols>
  <sheetData>
    <row r="1" spans="1:43" ht="19" thickBot="1" x14ac:dyDescent="0.4">
      <c r="A1" s="10"/>
      <c r="B1" s="27"/>
      <c r="C1" s="9"/>
      <c r="D1" s="132" t="s">
        <v>55</v>
      </c>
      <c r="E1" s="133"/>
      <c r="F1" s="133"/>
      <c r="G1" s="134"/>
      <c r="H1" s="132" t="s">
        <v>56</v>
      </c>
      <c r="I1" s="133"/>
      <c r="J1" s="133"/>
      <c r="K1" s="134"/>
      <c r="L1" s="132" t="s">
        <v>78</v>
      </c>
      <c r="M1" s="133"/>
      <c r="N1" s="133"/>
      <c r="O1" s="134"/>
      <c r="P1" s="132" t="s">
        <v>79</v>
      </c>
      <c r="Q1" s="133"/>
      <c r="R1" s="133"/>
      <c r="S1" s="134"/>
      <c r="T1" s="132" t="s">
        <v>80</v>
      </c>
      <c r="U1" s="133"/>
      <c r="V1" s="133"/>
      <c r="W1" s="134"/>
      <c r="X1" s="132" t="s">
        <v>87</v>
      </c>
      <c r="Y1" s="133"/>
      <c r="Z1" s="133"/>
      <c r="AA1" s="134"/>
      <c r="AB1" s="132" t="s">
        <v>88</v>
      </c>
      <c r="AC1" s="133"/>
      <c r="AD1" s="133"/>
      <c r="AE1" s="134"/>
      <c r="AF1" s="132" t="s">
        <v>89</v>
      </c>
      <c r="AG1" s="133"/>
      <c r="AH1" s="133"/>
      <c r="AI1" s="134"/>
      <c r="AJ1" s="132" t="s">
        <v>92</v>
      </c>
      <c r="AK1" s="133"/>
      <c r="AL1" s="133"/>
      <c r="AM1" s="134"/>
      <c r="AN1" s="132" t="s">
        <v>93</v>
      </c>
      <c r="AO1" s="133"/>
      <c r="AP1" s="133"/>
      <c r="AQ1" s="134"/>
    </row>
    <row r="2" spans="1:43" ht="15" thickBot="1" x14ac:dyDescent="0.4">
      <c r="A2" s="28" t="s">
        <v>118</v>
      </c>
      <c r="B2" s="29" t="s">
        <v>57</v>
      </c>
      <c r="C2" s="29" t="s">
        <v>65</v>
      </c>
      <c r="D2" s="30" t="s">
        <v>58</v>
      </c>
      <c r="E2" s="31" t="s">
        <v>122</v>
      </c>
      <c r="F2" s="32" t="s">
        <v>59</v>
      </c>
      <c r="G2" s="33" t="s">
        <v>123</v>
      </c>
      <c r="H2" s="30" t="s">
        <v>58</v>
      </c>
      <c r="I2" s="31" t="s">
        <v>122</v>
      </c>
      <c r="J2" s="32" t="s">
        <v>59</v>
      </c>
      <c r="K2" s="33" t="s">
        <v>123</v>
      </c>
      <c r="L2" s="30" t="s">
        <v>58</v>
      </c>
      <c r="M2" s="31" t="s">
        <v>122</v>
      </c>
      <c r="N2" s="32" t="s">
        <v>59</v>
      </c>
      <c r="O2" s="33" t="s">
        <v>123</v>
      </c>
      <c r="P2" s="30" t="s">
        <v>58</v>
      </c>
      <c r="Q2" s="31" t="s">
        <v>122</v>
      </c>
      <c r="R2" s="32" t="s">
        <v>59</v>
      </c>
      <c r="S2" s="33" t="s">
        <v>123</v>
      </c>
      <c r="T2" s="30" t="s">
        <v>58</v>
      </c>
      <c r="U2" s="31" t="s">
        <v>122</v>
      </c>
      <c r="V2" s="32" t="s">
        <v>59</v>
      </c>
      <c r="W2" s="33" t="s">
        <v>123</v>
      </c>
      <c r="X2" s="30" t="s">
        <v>58</v>
      </c>
      <c r="Y2" s="31" t="s">
        <v>122</v>
      </c>
      <c r="Z2" s="32" t="s">
        <v>59</v>
      </c>
      <c r="AA2" s="33" t="s">
        <v>123</v>
      </c>
      <c r="AB2" s="30" t="s">
        <v>58</v>
      </c>
      <c r="AC2" s="31" t="s">
        <v>122</v>
      </c>
      <c r="AD2" s="32" t="s">
        <v>59</v>
      </c>
      <c r="AE2" s="33" t="s">
        <v>123</v>
      </c>
      <c r="AF2" s="30" t="s">
        <v>58</v>
      </c>
      <c r="AG2" s="31" t="s">
        <v>122</v>
      </c>
      <c r="AH2" s="32" t="s">
        <v>59</v>
      </c>
      <c r="AI2" s="33" t="s">
        <v>123</v>
      </c>
      <c r="AJ2" s="30" t="s">
        <v>58</v>
      </c>
      <c r="AK2" s="31" t="s">
        <v>122</v>
      </c>
      <c r="AL2" s="32" t="s">
        <v>59</v>
      </c>
      <c r="AM2" s="33" t="s">
        <v>123</v>
      </c>
      <c r="AN2" s="30" t="s">
        <v>58</v>
      </c>
      <c r="AO2" s="31" t="s">
        <v>122</v>
      </c>
      <c r="AP2" s="32" t="s">
        <v>59</v>
      </c>
      <c r="AQ2" s="33" t="s">
        <v>123</v>
      </c>
    </row>
    <row r="3" spans="1:43" x14ac:dyDescent="0.35">
      <c r="A3" s="34" t="s">
        <v>99</v>
      </c>
      <c r="B3" s="50">
        <v>0.38472222222222219</v>
      </c>
      <c r="C3" s="35" t="s">
        <v>66</v>
      </c>
      <c r="D3" s="36">
        <v>0.42777777777777781</v>
      </c>
      <c r="E3" s="37" t="s">
        <v>60</v>
      </c>
      <c r="F3" s="38">
        <v>0.625</v>
      </c>
      <c r="G3" s="39" t="s">
        <v>67</v>
      </c>
      <c r="H3" s="36">
        <v>0.46875</v>
      </c>
      <c r="I3" s="37" t="s">
        <v>60</v>
      </c>
      <c r="J3" s="38">
        <v>0.625</v>
      </c>
      <c r="K3" s="39" t="s">
        <v>68</v>
      </c>
      <c r="L3" s="53">
        <v>0.50902777777777775</v>
      </c>
      <c r="M3" s="37" t="s">
        <v>60</v>
      </c>
      <c r="N3" s="38">
        <v>0.625</v>
      </c>
      <c r="O3" s="39" t="s">
        <v>76</v>
      </c>
      <c r="P3" s="36">
        <v>0.55069444444444449</v>
      </c>
      <c r="Q3" s="11" t="s">
        <v>61</v>
      </c>
      <c r="R3" s="38">
        <v>0.625</v>
      </c>
      <c r="S3" s="54" t="s">
        <v>82</v>
      </c>
      <c r="T3" s="36">
        <v>0.59375</v>
      </c>
      <c r="U3" s="11" t="s">
        <v>61</v>
      </c>
      <c r="V3" s="38">
        <v>0.625</v>
      </c>
      <c r="W3" s="54" t="s">
        <v>83</v>
      </c>
      <c r="X3" s="36">
        <v>0.63472222222222219</v>
      </c>
      <c r="Y3" s="11" t="s">
        <v>60</v>
      </c>
      <c r="Z3" s="38">
        <v>0.625</v>
      </c>
      <c r="AA3" s="54" t="s">
        <v>76</v>
      </c>
      <c r="AB3" s="53">
        <v>0.71736111111111101</v>
      </c>
      <c r="AC3" s="37" t="s">
        <v>61</v>
      </c>
      <c r="AD3" s="38">
        <v>0.625</v>
      </c>
      <c r="AE3" s="39" t="s">
        <v>90</v>
      </c>
      <c r="AF3" s="36">
        <v>0.38541666666666669</v>
      </c>
      <c r="AG3" s="11" t="s">
        <v>60</v>
      </c>
      <c r="AH3" s="38">
        <v>0.625</v>
      </c>
      <c r="AI3" s="54" t="s">
        <v>67</v>
      </c>
      <c r="AJ3" s="36">
        <v>0.38611111111111113</v>
      </c>
      <c r="AK3" s="11" t="s">
        <v>60</v>
      </c>
      <c r="AL3" s="38">
        <v>0.625</v>
      </c>
      <c r="AM3" s="54" t="s">
        <v>68</v>
      </c>
      <c r="AN3" s="36">
        <v>0.39166666666666666</v>
      </c>
      <c r="AO3" s="11" t="s">
        <v>61</v>
      </c>
      <c r="AP3" s="38">
        <v>0.625</v>
      </c>
      <c r="AQ3" s="54" t="s">
        <v>94</v>
      </c>
    </row>
    <row r="4" spans="1:43" x14ac:dyDescent="0.35">
      <c r="A4" s="34" t="s">
        <v>100</v>
      </c>
      <c r="B4" s="40">
        <v>0.38541666666666669</v>
      </c>
      <c r="C4" s="41" t="s">
        <v>69</v>
      </c>
      <c r="D4" s="42">
        <v>0.4284722222222222</v>
      </c>
      <c r="E4" s="37" t="s">
        <v>60</v>
      </c>
      <c r="F4" s="44">
        <v>0.625</v>
      </c>
      <c r="G4" s="45" t="s">
        <v>67</v>
      </c>
      <c r="H4" s="42">
        <v>0.46875</v>
      </c>
      <c r="I4" s="43" t="s">
        <v>61</v>
      </c>
      <c r="J4" s="44">
        <v>0.625</v>
      </c>
      <c r="K4" s="45" t="s">
        <v>70</v>
      </c>
      <c r="L4" s="55">
        <v>0.50972222222222219</v>
      </c>
      <c r="M4" s="43" t="s">
        <v>61</v>
      </c>
      <c r="N4" s="44">
        <v>0.625</v>
      </c>
      <c r="O4" s="45" t="s">
        <v>72</v>
      </c>
      <c r="P4" s="42">
        <v>0.55138888888888882</v>
      </c>
      <c r="Q4" s="56" t="s">
        <v>60</v>
      </c>
      <c r="R4" s="44">
        <v>0.625</v>
      </c>
      <c r="S4" s="57" t="s">
        <v>70</v>
      </c>
      <c r="T4" s="42">
        <v>0.59444444444444444</v>
      </c>
      <c r="U4" s="56" t="s">
        <v>60</v>
      </c>
      <c r="V4" s="44">
        <v>0.625</v>
      </c>
      <c r="W4" s="57" t="s">
        <v>83</v>
      </c>
      <c r="X4" s="42">
        <v>0.63541666666666663</v>
      </c>
      <c r="Y4" s="56" t="s">
        <v>60</v>
      </c>
      <c r="Z4" s="44">
        <v>0.625</v>
      </c>
      <c r="AA4" s="57" t="s">
        <v>67</v>
      </c>
      <c r="AB4" s="55">
        <v>0.71736111111111101</v>
      </c>
      <c r="AC4" s="43" t="s">
        <v>60</v>
      </c>
      <c r="AD4" s="44">
        <v>0.625</v>
      </c>
      <c r="AE4" s="45" t="s">
        <v>67</v>
      </c>
      <c r="AF4" s="42">
        <v>0.38611111111111113</v>
      </c>
      <c r="AG4" s="56" t="s">
        <v>60</v>
      </c>
      <c r="AH4" s="44">
        <v>0.625</v>
      </c>
      <c r="AI4" s="57" t="s">
        <v>90</v>
      </c>
      <c r="AJ4" s="42">
        <v>0.38680555555555557</v>
      </c>
      <c r="AK4" s="56" t="s">
        <v>60</v>
      </c>
      <c r="AL4" s="44">
        <v>0.625</v>
      </c>
      <c r="AM4" s="57" t="s">
        <v>68</v>
      </c>
      <c r="AN4" s="42">
        <v>0.3923611111111111</v>
      </c>
      <c r="AO4" s="56" t="s">
        <v>61</v>
      </c>
      <c r="AP4" s="44">
        <v>0.625</v>
      </c>
      <c r="AQ4" s="57" t="s">
        <v>85</v>
      </c>
    </row>
    <row r="5" spans="1:43" x14ac:dyDescent="0.35">
      <c r="A5" s="34" t="s">
        <v>101</v>
      </c>
      <c r="B5" s="50">
        <v>0.38611111111111102</v>
      </c>
      <c r="C5" s="41" t="s">
        <v>62</v>
      </c>
      <c r="D5" s="36">
        <v>0.42916666666666697</v>
      </c>
      <c r="E5" s="37" t="s">
        <v>60</v>
      </c>
      <c r="F5" s="44">
        <v>0.625</v>
      </c>
      <c r="G5" s="45" t="s">
        <v>71</v>
      </c>
      <c r="H5" s="42">
        <v>0.4694444444444445</v>
      </c>
      <c r="I5" s="43" t="s">
        <v>60</v>
      </c>
      <c r="J5" s="44">
        <v>0.625</v>
      </c>
      <c r="K5" s="45" t="s">
        <v>71</v>
      </c>
      <c r="L5" s="55">
        <v>0.51041666666666663</v>
      </c>
      <c r="M5" s="43" t="s">
        <v>84</v>
      </c>
      <c r="N5" s="44">
        <v>0.625</v>
      </c>
      <c r="O5" s="45" t="s">
        <v>68</v>
      </c>
      <c r="P5" s="42">
        <v>0.55208333333333337</v>
      </c>
      <c r="Q5" s="56" t="s">
        <v>60</v>
      </c>
      <c r="R5" s="44">
        <v>0.625</v>
      </c>
      <c r="S5" s="57" t="s">
        <v>71</v>
      </c>
      <c r="T5" s="36">
        <v>0.59513888888888899</v>
      </c>
      <c r="U5" s="56" t="s">
        <v>60</v>
      </c>
      <c r="V5" s="44">
        <v>0.625</v>
      </c>
      <c r="W5" s="57" t="s">
        <v>81</v>
      </c>
      <c r="X5" s="36">
        <v>0.63611111111111096</v>
      </c>
      <c r="Y5" s="56" t="s">
        <v>60</v>
      </c>
      <c r="Z5" s="44">
        <v>0.625</v>
      </c>
      <c r="AA5" s="57" t="s">
        <v>67</v>
      </c>
      <c r="AB5" s="55">
        <v>0.71805555555555556</v>
      </c>
      <c r="AC5" s="43" t="s">
        <v>60</v>
      </c>
      <c r="AD5" s="44">
        <v>0.625</v>
      </c>
      <c r="AE5" s="45" t="s">
        <v>72</v>
      </c>
      <c r="AF5" s="36">
        <v>0.38680555555555601</v>
      </c>
      <c r="AG5" s="56" t="s">
        <v>84</v>
      </c>
      <c r="AH5" s="44">
        <v>0.625</v>
      </c>
      <c r="AI5" s="57" t="s">
        <v>71</v>
      </c>
      <c r="AJ5" s="36">
        <v>0.38750000000000001</v>
      </c>
      <c r="AK5" s="56" t="s">
        <v>61</v>
      </c>
      <c r="AL5" s="44">
        <v>0.625</v>
      </c>
      <c r="AM5" s="57" t="s">
        <v>74</v>
      </c>
      <c r="AN5" s="42">
        <v>0.39305555555555555</v>
      </c>
      <c r="AO5" s="56" t="s">
        <v>61</v>
      </c>
      <c r="AP5" s="44">
        <v>0.625</v>
      </c>
      <c r="AQ5" s="57" t="s">
        <v>91</v>
      </c>
    </row>
    <row r="6" spans="1:43" x14ac:dyDescent="0.35">
      <c r="A6" s="34" t="s">
        <v>102</v>
      </c>
      <c r="B6" s="40">
        <v>0.38680555555555601</v>
      </c>
      <c r="C6" s="41" t="s">
        <v>64</v>
      </c>
      <c r="D6" s="42">
        <v>0.42986111111111103</v>
      </c>
      <c r="E6" s="37" t="s">
        <v>60</v>
      </c>
      <c r="F6" s="44">
        <v>0.625</v>
      </c>
      <c r="G6" s="45" t="s">
        <v>72</v>
      </c>
      <c r="H6" s="42">
        <v>0.47013888888888899</v>
      </c>
      <c r="I6" s="43" t="s">
        <v>63</v>
      </c>
      <c r="J6" s="44">
        <v>0.625</v>
      </c>
      <c r="K6" s="45" t="s">
        <v>67</v>
      </c>
      <c r="L6" s="55">
        <v>0.51041666666666663</v>
      </c>
      <c r="M6" s="43" t="s">
        <v>61</v>
      </c>
      <c r="N6" s="44">
        <v>0.625</v>
      </c>
      <c r="O6" s="45" t="s">
        <v>85</v>
      </c>
      <c r="P6" s="42">
        <v>0.55208333333333337</v>
      </c>
      <c r="Q6" s="56" t="s">
        <v>63</v>
      </c>
      <c r="R6" s="44">
        <v>0.625</v>
      </c>
      <c r="S6" s="57" t="s">
        <v>67</v>
      </c>
      <c r="T6" s="42">
        <v>0.59583333333333299</v>
      </c>
      <c r="U6" s="56" t="s">
        <v>61</v>
      </c>
      <c r="V6" s="44">
        <v>0.625</v>
      </c>
      <c r="W6" s="57" t="s">
        <v>83</v>
      </c>
      <c r="X6" s="42">
        <v>0.63680555555555596</v>
      </c>
      <c r="Y6" s="56" t="s">
        <v>61</v>
      </c>
      <c r="Z6" s="44">
        <v>0.625</v>
      </c>
      <c r="AA6" s="57" t="s">
        <v>85</v>
      </c>
      <c r="AB6" s="55">
        <v>0.71875</v>
      </c>
      <c r="AC6" s="43" t="s">
        <v>61</v>
      </c>
      <c r="AD6" s="44">
        <v>0.625</v>
      </c>
      <c r="AE6" s="45" t="s">
        <v>85</v>
      </c>
      <c r="AF6" s="36">
        <v>0.38680555555555601</v>
      </c>
      <c r="AG6" s="56" t="s">
        <v>60</v>
      </c>
      <c r="AH6" s="44">
        <v>0.625</v>
      </c>
      <c r="AI6" s="57" t="s">
        <v>71</v>
      </c>
      <c r="AJ6" s="42">
        <v>0.38819444444444401</v>
      </c>
      <c r="AK6" s="56" t="s">
        <v>60</v>
      </c>
      <c r="AL6" s="44">
        <v>0.625</v>
      </c>
      <c r="AM6" s="57" t="s">
        <v>83</v>
      </c>
      <c r="AN6" s="42">
        <v>0.39374999999999999</v>
      </c>
      <c r="AO6" s="56" t="s">
        <v>61</v>
      </c>
      <c r="AP6" s="44">
        <v>0.625</v>
      </c>
      <c r="AQ6" s="57" t="s">
        <v>83</v>
      </c>
    </row>
    <row r="7" spans="1:43" x14ac:dyDescent="0.35">
      <c r="A7" s="34" t="s">
        <v>103</v>
      </c>
      <c r="B7" s="50">
        <v>0.38750000000000001</v>
      </c>
      <c r="C7" s="41" t="s">
        <v>73</v>
      </c>
      <c r="D7" s="36">
        <v>0.43055555555555503</v>
      </c>
      <c r="E7" s="43" t="s">
        <v>61</v>
      </c>
      <c r="F7" s="44">
        <v>0.625</v>
      </c>
      <c r="G7" s="45" t="s">
        <v>70</v>
      </c>
      <c r="H7" s="42">
        <v>0.47083333333333299</v>
      </c>
      <c r="I7" s="43" t="s">
        <v>63</v>
      </c>
      <c r="J7" s="44">
        <v>0.625</v>
      </c>
      <c r="K7" s="45" t="s">
        <v>74</v>
      </c>
      <c r="L7" s="55">
        <v>0.51111111111111118</v>
      </c>
      <c r="M7" s="43" t="s">
        <v>61</v>
      </c>
      <c r="N7" s="44">
        <v>0.625</v>
      </c>
      <c r="O7" s="45" t="s">
        <v>72</v>
      </c>
      <c r="P7" s="42">
        <v>0.55277777777777781</v>
      </c>
      <c r="Q7" s="56" t="s">
        <v>61</v>
      </c>
      <c r="R7" s="44">
        <v>0.625</v>
      </c>
      <c r="S7" s="57" t="s">
        <v>67</v>
      </c>
      <c r="T7" s="36">
        <v>0.59652777777777799</v>
      </c>
      <c r="U7" s="56" t="s">
        <v>61</v>
      </c>
      <c r="V7" s="44">
        <v>0.625</v>
      </c>
      <c r="W7" s="57" t="s">
        <v>83</v>
      </c>
      <c r="X7" s="42">
        <v>0.63680555555555596</v>
      </c>
      <c r="Y7" s="56" t="s">
        <v>60</v>
      </c>
      <c r="Z7" s="44">
        <v>0.625</v>
      </c>
      <c r="AA7" s="57" t="s">
        <v>71</v>
      </c>
      <c r="AB7" s="55">
        <v>0.71944444444444444</v>
      </c>
      <c r="AC7" s="43" t="s">
        <v>63</v>
      </c>
      <c r="AD7" s="44">
        <v>0.625</v>
      </c>
      <c r="AE7" s="45" t="s">
        <v>74</v>
      </c>
      <c r="AF7" s="42">
        <v>0.38750000000000001</v>
      </c>
      <c r="AG7" s="56" t="s">
        <v>61</v>
      </c>
      <c r="AH7" s="44">
        <v>0.625</v>
      </c>
      <c r="AI7" s="57" t="s">
        <v>68</v>
      </c>
      <c r="AJ7" s="36">
        <v>0.38819444444444445</v>
      </c>
      <c r="AK7" s="56" t="s">
        <v>61</v>
      </c>
      <c r="AL7" s="44">
        <v>0.625</v>
      </c>
      <c r="AM7" s="57" t="s">
        <v>72</v>
      </c>
      <c r="AN7" s="42">
        <v>0.39444444444444399</v>
      </c>
      <c r="AO7" s="56" t="s">
        <v>60</v>
      </c>
      <c r="AP7" s="44">
        <v>0.625</v>
      </c>
      <c r="AQ7" s="57" t="s">
        <v>72</v>
      </c>
    </row>
    <row r="8" spans="1:43" x14ac:dyDescent="0.35">
      <c r="A8" s="34" t="s">
        <v>104</v>
      </c>
      <c r="B8" s="40">
        <v>0.38750000000000001</v>
      </c>
      <c r="C8" s="41" t="s">
        <v>75</v>
      </c>
      <c r="D8" s="36">
        <v>0.43055555555555503</v>
      </c>
      <c r="E8" s="37" t="s">
        <v>60</v>
      </c>
      <c r="F8" s="44">
        <v>0.625</v>
      </c>
      <c r="G8" s="45" t="s">
        <v>72</v>
      </c>
      <c r="H8" s="42">
        <v>0.47152777777777799</v>
      </c>
      <c r="I8" s="43" t="s">
        <v>60</v>
      </c>
      <c r="J8" s="44">
        <v>0.625</v>
      </c>
      <c r="K8" s="45" t="s">
        <v>67</v>
      </c>
      <c r="L8" s="55">
        <v>0.51180555555555596</v>
      </c>
      <c r="M8" s="43" t="s">
        <v>63</v>
      </c>
      <c r="N8" s="44">
        <v>0.625</v>
      </c>
      <c r="O8" s="45" t="s">
        <v>67</v>
      </c>
      <c r="P8" s="42">
        <v>0.55347222222222225</v>
      </c>
      <c r="Q8" s="56" t="s">
        <v>63</v>
      </c>
      <c r="R8" s="44">
        <v>0.625</v>
      </c>
      <c r="S8" s="57" t="s">
        <v>70</v>
      </c>
      <c r="T8" s="42">
        <v>0.59722222222222199</v>
      </c>
      <c r="U8" s="56" t="s">
        <v>60</v>
      </c>
      <c r="V8" s="44">
        <v>0.625</v>
      </c>
      <c r="W8" s="57" t="s">
        <v>68</v>
      </c>
      <c r="X8" s="36">
        <v>0.63749999999999996</v>
      </c>
      <c r="Y8" s="56" t="s">
        <v>61</v>
      </c>
      <c r="Z8" s="44">
        <v>0.625</v>
      </c>
      <c r="AA8" s="57" t="s">
        <v>67</v>
      </c>
      <c r="AB8" s="55">
        <v>0.71944444444444444</v>
      </c>
      <c r="AC8" s="43" t="s">
        <v>61</v>
      </c>
      <c r="AD8" s="44">
        <v>0.625</v>
      </c>
      <c r="AE8" s="45" t="s">
        <v>67</v>
      </c>
      <c r="AF8" s="36">
        <v>0.38819444444444401</v>
      </c>
      <c r="AG8" s="56" t="s">
        <v>61</v>
      </c>
      <c r="AH8" s="44">
        <v>0.625</v>
      </c>
      <c r="AI8" s="57" t="s">
        <v>81</v>
      </c>
      <c r="AJ8" s="42">
        <v>0.3888888888888889</v>
      </c>
      <c r="AK8" s="56" t="s">
        <v>61</v>
      </c>
      <c r="AL8" s="44">
        <v>0.625</v>
      </c>
      <c r="AM8" s="57" t="s">
        <v>74</v>
      </c>
      <c r="AN8" s="42">
        <v>0.39444444444444399</v>
      </c>
      <c r="AO8" s="56" t="s">
        <v>61</v>
      </c>
      <c r="AP8" s="44">
        <v>0.625</v>
      </c>
      <c r="AQ8" s="57" t="s">
        <v>91</v>
      </c>
    </row>
    <row r="9" spans="1:43" x14ac:dyDescent="0.35">
      <c r="A9" s="34" t="s">
        <v>105</v>
      </c>
      <c r="B9" s="50">
        <v>0.38819444444444445</v>
      </c>
      <c r="C9" s="41" t="s">
        <v>64</v>
      </c>
      <c r="D9" s="42">
        <v>0.43124999999999997</v>
      </c>
      <c r="E9" s="43" t="s">
        <v>61</v>
      </c>
      <c r="F9" s="44">
        <v>0.625</v>
      </c>
      <c r="G9" s="45" t="s">
        <v>70</v>
      </c>
      <c r="H9" s="42">
        <v>0.47222222222222199</v>
      </c>
      <c r="I9" s="43" t="s">
        <v>60</v>
      </c>
      <c r="J9" s="44">
        <v>0.625</v>
      </c>
      <c r="K9" s="45" t="s">
        <v>76</v>
      </c>
      <c r="L9" s="55">
        <v>0.51249999999999996</v>
      </c>
      <c r="M9" s="43" t="s">
        <v>61</v>
      </c>
      <c r="N9" s="44">
        <v>0.625</v>
      </c>
      <c r="O9" s="45" t="s">
        <v>76</v>
      </c>
      <c r="P9" s="42">
        <v>0.55347222222222225</v>
      </c>
      <c r="Q9" s="56" t="s">
        <v>61</v>
      </c>
      <c r="R9" s="44">
        <v>0.625</v>
      </c>
      <c r="S9" s="57" t="s">
        <v>70</v>
      </c>
      <c r="T9" s="36">
        <v>0.59791666666666698</v>
      </c>
      <c r="U9" s="56" t="s">
        <v>60</v>
      </c>
      <c r="V9" s="44">
        <v>0.625</v>
      </c>
      <c r="W9" s="57" t="s">
        <v>76</v>
      </c>
      <c r="X9" s="42">
        <v>0.63819444444444395</v>
      </c>
      <c r="Y9" s="56" t="s">
        <v>61</v>
      </c>
      <c r="Z9" s="44">
        <v>0.625</v>
      </c>
      <c r="AA9" s="57" t="s">
        <v>67</v>
      </c>
      <c r="AB9" s="55">
        <v>0.72013888888888899</v>
      </c>
      <c r="AC9" s="43" t="s">
        <v>61</v>
      </c>
      <c r="AD9" s="44">
        <v>0.625</v>
      </c>
      <c r="AE9" s="45" t="s">
        <v>90</v>
      </c>
      <c r="AF9" s="42">
        <v>0.38888888888888901</v>
      </c>
      <c r="AG9" s="56" t="s">
        <v>61</v>
      </c>
      <c r="AH9" s="44">
        <v>0.625</v>
      </c>
      <c r="AI9" s="57" t="s">
        <v>67</v>
      </c>
      <c r="AJ9" s="36">
        <v>0.38958333333333334</v>
      </c>
      <c r="AK9" s="56" t="s">
        <v>84</v>
      </c>
      <c r="AL9" s="44">
        <v>0.625</v>
      </c>
      <c r="AM9" s="57" t="s">
        <v>74</v>
      </c>
      <c r="AN9" s="42">
        <v>0.39513888888888898</v>
      </c>
      <c r="AO9" s="56" t="s">
        <v>63</v>
      </c>
      <c r="AP9" s="44">
        <v>0.625</v>
      </c>
      <c r="AQ9" s="57" t="s">
        <v>71</v>
      </c>
    </row>
    <row r="10" spans="1:43" ht="15" thickBot="1" x14ac:dyDescent="0.4">
      <c r="A10" s="46" t="s">
        <v>106</v>
      </c>
      <c r="B10" s="40">
        <v>0.3888888888888889</v>
      </c>
      <c r="C10" s="51" t="s">
        <v>77</v>
      </c>
      <c r="D10" s="36">
        <v>0.43194444444444502</v>
      </c>
      <c r="E10" s="37" t="s">
        <v>60</v>
      </c>
      <c r="F10" s="47">
        <v>0.625</v>
      </c>
      <c r="G10" s="48" t="s">
        <v>70</v>
      </c>
      <c r="H10" s="42">
        <v>0.47222222222222199</v>
      </c>
      <c r="I10" s="52" t="s">
        <v>61</v>
      </c>
      <c r="J10" s="47">
        <v>0.625</v>
      </c>
      <c r="K10" s="48" t="s">
        <v>74</v>
      </c>
      <c r="L10" s="55">
        <v>0.51319444444444495</v>
      </c>
      <c r="M10" s="52" t="s">
        <v>61</v>
      </c>
      <c r="N10" s="47">
        <v>0.625</v>
      </c>
      <c r="O10" s="48" t="s">
        <v>86</v>
      </c>
      <c r="P10" s="49">
        <v>0.5541666666666667</v>
      </c>
      <c r="Q10" s="58" t="s">
        <v>61</v>
      </c>
      <c r="R10" s="47">
        <v>0.625</v>
      </c>
      <c r="S10" s="59" t="s">
        <v>70</v>
      </c>
      <c r="T10" s="42">
        <v>0.59861111111111098</v>
      </c>
      <c r="U10" s="58" t="s">
        <v>60</v>
      </c>
      <c r="V10" s="47">
        <v>0.625</v>
      </c>
      <c r="W10" s="59" t="s">
        <v>76</v>
      </c>
      <c r="X10" s="36">
        <v>0.63888888888888895</v>
      </c>
      <c r="Y10" s="58" t="s">
        <v>60</v>
      </c>
      <c r="Z10" s="47">
        <v>0.625</v>
      </c>
      <c r="AA10" s="59" t="s">
        <v>70</v>
      </c>
      <c r="AB10" s="60">
        <v>0.72083333333333333</v>
      </c>
      <c r="AC10" s="52" t="s">
        <v>61</v>
      </c>
      <c r="AD10" s="47">
        <v>0.625</v>
      </c>
      <c r="AE10" s="48" t="s">
        <v>74</v>
      </c>
      <c r="AF10" s="42">
        <v>0.38888888888888901</v>
      </c>
      <c r="AG10" s="56" t="s">
        <v>61</v>
      </c>
      <c r="AH10" s="47">
        <v>0.625</v>
      </c>
      <c r="AI10" s="59" t="s">
        <v>91</v>
      </c>
      <c r="AJ10" s="36">
        <v>0.38958333333333334</v>
      </c>
      <c r="AK10" s="58" t="s">
        <v>60</v>
      </c>
      <c r="AL10" s="47">
        <v>0.625</v>
      </c>
      <c r="AM10" s="59" t="s">
        <v>71</v>
      </c>
      <c r="AN10" s="42">
        <v>0.39513888888888898</v>
      </c>
      <c r="AO10" s="58" t="s">
        <v>60</v>
      </c>
      <c r="AP10" s="47">
        <v>0.625</v>
      </c>
      <c r="AQ10" s="59" t="s">
        <v>85</v>
      </c>
    </row>
  </sheetData>
  <mergeCells count="10">
    <mergeCell ref="AJ1:AM1"/>
    <mergeCell ref="AN1:AQ1"/>
    <mergeCell ref="D1:G1"/>
    <mergeCell ref="H1:K1"/>
    <mergeCell ref="L1:O1"/>
    <mergeCell ref="P1:S1"/>
    <mergeCell ref="T1:W1"/>
    <mergeCell ref="X1:AA1"/>
    <mergeCell ref="AB1:AE1"/>
    <mergeCell ref="AF1:AI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D2" sqref="D2"/>
    </sheetView>
  </sheetViews>
  <sheetFormatPr baseColWidth="10" defaultRowHeight="14.5" x14ac:dyDescent="0.35"/>
  <cols>
    <col min="1" max="1" width="17" customWidth="1"/>
    <col min="2" max="2" width="12.26953125" customWidth="1"/>
  </cols>
  <sheetData>
    <row r="1" spans="1:7" x14ac:dyDescent="0.35">
      <c r="A1" s="62"/>
      <c r="B1" s="61" t="s">
        <v>95</v>
      </c>
      <c r="C1" s="61" t="s">
        <v>117</v>
      </c>
      <c r="D1" s="61" t="s">
        <v>96</v>
      </c>
      <c r="E1" s="61" t="s">
        <v>97</v>
      </c>
      <c r="G1" s="76" t="s">
        <v>119</v>
      </c>
    </row>
    <row r="2" spans="1:7" x14ac:dyDescent="0.35">
      <c r="A2" s="62" t="s">
        <v>118</v>
      </c>
      <c r="B2" s="61" t="s">
        <v>98</v>
      </c>
      <c r="C2" s="61" t="s">
        <v>98</v>
      </c>
      <c r="D2" s="61" t="s">
        <v>98</v>
      </c>
      <c r="E2" s="61" t="s">
        <v>98</v>
      </c>
    </row>
    <row r="3" spans="1:7" x14ac:dyDescent="0.35">
      <c r="A3" s="64" t="s">
        <v>99</v>
      </c>
      <c r="B3" s="64">
        <v>0</v>
      </c>
      <c r="C3" s="64"/>
      <c r="D3" s="64"/>
      <c r="E3" s="64"/>
    </row>
    <row r="4" spans="1:7" x14ac:dyDescent="0.35">
      <c r="A4" s="63" t="s">
        <v>100</v>
      </c>
      <c r="B4" s="63">
        <v>0</v>
      </c>
      <c r="C4" s="63"/>
      <c r="D4" s="63"/>
      <c r="E4" s="63"/>
    </row>
    <row r="5" spans="1:7" x14ac:dyDescent="0.35">
      <c r="A5" s="64" t="s">
        <v>101</v>
      </c>
      <c r="B5" s="64">
        <v>0</v>
      </c>
      <c r="C5" s="64"/>
      <c r="D5" s="64"/>
      <c r="E5" s="64"/>
    </row>
    <row r="6" spans="1:7" x14ac:dyDescent="0.35">
      <c r="A6" s="63" t="s">
        <v>102</v>
      </c>
      <c r="B6" s="63">
        <v>80</v>
      </c>
      <c r="C6" s="63">
        <v>80.040000000000006</v>
      </c>
      <c r="D6" s="63">
        <v>0.32</v>
      </c>
      <c r="E6" s="63">
        <f>C6-D6</f>
        <v>79.720000000000013</v>
      </c>
    </row>
    <row r="7" spans="1:7" x14ac:dyDescent="0.35">
      <c r="A7" s="64" t="s">
        <v>103</v>
      </c>
      <c r="B7" s="64">
        <v>80</v>
      </c>
      <c r="C7" s="64">
        <v>80.05</v>
      </c>
      <c r="D7" s="64">
        <v>0.24</v>
      </c>
      <c r="E7" s="64">
        <f t="shared" ref="E7:E10" si="0">C7-D7</f>
        <v>79.81</v>
      </c>
    </row>
    <row r="8" spans="1:7" x14ac:dyDescent="0.35">
      <c r="A8" s="63" t="s">
        <v>104</v>
      </c>
      <c r="B8" s="63">
        <v>80</v>
      </c>
      <c r="C8" s="63">
        <v>80.06</v>
      </c>
      <c r="D8" s="63">
        <v>0.31</v>
      </c>
      <c r="E8" s="63">
        <f t="shared" si="0"/>
        <v>79.75</v>
      </c>
    </row>
    <row r="9" spans="1:7" x14ac:dyDescent="0.35">
      <c r="A9" s="64" t="s">
        <v>105</v>
      </c>
      <c r="B9" s="64">
        <v>80</v>
      </c>
      <c r="C9" s="64">
        <v>80.08</v>
      </c>
      <c r="D9" s="64">
        <v>0.43</v>
      </c>
      <c r="E9" s="64">
        <f t="shared" si="0"/>
        <v>79.649999999999991</v>
      </c>
    </row>
    <row r="10" spans="1:7" x14ac:dyDescent="0.35">
      <c r="A10" s="63" t="s">
        <v>106</v>
      </c>
      <c r="B10" s="63">
        <v>80</v>
      </c>
      <c r="C10" s="63">
        <v>80.040000000000006</v>
      </c>
      <c r="D10" s="63">
        <v>0.28999999999999998</v>
      </c>
      <c r="E10" s="63">
        <f t="shared" si="0"/>
        <v>79.75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12"/>
  <sheetViews>
    <sheetView workbookViewId="0">
      <selection activeCell="J1" sqref="J1"/>
    </sheetView>
  </sheetViews>
  <sheetFormatPr baseColWidth="10" defaultRowHeight="15.5" x14ac:dyDescent="0.35"/>
  <cols>
    <col min="1" max="1" width="8.90625" style="14" customWidth="1"/>
    <col min="2" max="2" width="16" style="14" bestFit="1" customWidth="1"/>
    <col min="3" max="3" width="14" style="14" customWidth="1"/>
    <col min="4" max="4" width="15.7265625" style="14" customWidth="1"/>
    <col min="5" max="5" width="10.90625" style="14" customWidth="1"/>
    <col min="6" max="6" width="16.7265625" style="14" customWidth="1"/>
    <col min="7" max="7" width="14.6328125" style="14" customWidth="1"/>
    <col min="8" max="8" width="5.1796875" style="14" customWidth="1"/>
    <col min="9" max="9" width="10.90625" style="65"/>
    <col min="10" max="10" width="17.453125" style="14" bestFit="1" customWidth="1"/>
    <col min="11" max="11" width="12.90625" style="26" bestFit="1" customWidth="1"/>
    <col min="12" max="12" width="13.90625" style="14" bestFit="1" customWidth="1"/>
    <col min="13" max="13" width="14.81640625" style="26" bestFit="1" customWidth="1"/>
    <col min="14" max="14" width="11.36328125" bestFit="1" customWidth="1"/>
    <col min="15" max="15" width="14.08984375" customWidth="1"/>
    <col min="18" max="18" width="11.54296875" customWidth="1"/>
    <col min="19" max="19" width="25.6328125" customWidth="1"/>
  </cols>
  <sheetData>
    <row r="1" spans="1:21" x14ac:dyDescent="0.35">
      <c r="C1"/>
      <c r="D1"/>
      <c r="E1"/>
      <c r="F1"/>
      <c r="K1" s="14"/>
      <c r="M1" s="14"/>
      <c r="O1" s="14"/>
      <c r="P1" s="14"/>
      <c r="Q1" s="14"/>
      <c r="R1" s="14"/>
      <c r="S1" s="14"/>
      <c r="T1" s="14"/>
      <c r="U1" s="14"/>
    </row>
    <row r="2" spans="1:21" x14ac:dyDescent="0.35">
      <c r="C2"/>
      <c r="D2"/>
      <c r="E2"/>
      <c r="F2"/>
      <c r="K2" s="14"/>
      <c r="M2" s="14"/>
      <c r="O2" s="14"/>
      <c r="P2" s="14"/>
      <c r="Q2" s="14"/>
      <c r="R2" s="14"/>
      <c r="S2" s="14"/>
      <c r="T2" s="14"/>
      <c r="U2" s="14"/>
    </row>
    <row r="3" spans="1:21" x14ac:dyDescent="0.35">
      <c r="A3" s="70" t="s">
        <v>58</v>
      </c>
      <c r="B3" s="12" t="s">
        <v>121</v>
      </c>
      <c r="C3" s="12" t="s">
        <v>125</v>
      </c>
      <c r="D3" s="12" t="s">
        <v>59</v>
      </c>
      <c r="E3" s="12" t="s">
        <v>126</v>
      </c>
      <c r="F3" s="12" t="s">
        <v>124</v>
      </c>
      <c r="G3" s="13" t="s">
        <v>127</v>
      </c>
      <c r="I3" s="70" t="s">
        <v>58</v>
      </c>
      <c r="J3" s="15" t="s">
        <v>128</v>
      </c>
      <c r="K3" s="16" t="s">
        <v>43</v>
      </c>
      <c r="L3" s="12" t="s">
        <v>44</v>
      </c>
      <c r="M3" s="16" t="s">
        <v>45</v>
      </c>
      <c r="P3" s="135" t="s">
        <v>45</v>
      </c>
      <c r="Q3" s="135"/>
    </row>
    <row r="4" spans="1:21" x14ac:dyDescent="0.35">
      <c r="A4" s="136" t="s">
        <v>46</v>
      </c>
      <c r="B4" s="17">
        <v>40.01</v>
      </c>
      <c r="C4" s="17">
        <v>1</v>
      </c>
      <c r="D4" s="22">
        <v>0.625</v>
      </c>
      <c r="E4" s="17">
        <v>9.27</v>
      </c>
      <c r="F4" s="22">
        <f>D4+E4+C4</f>
        <v>10.895</v>
      </c>
      <c r="G4" s="18">
        <f>F4/C4</f>
        <v>10.895</v>
      </c>
      <c r="I4" s="66">
        <v>1</v>
      </c>
      <c r="J4" s="17">
        <v>4.473684210526315</v>
      </c>
      <c r="K4" s="17">
        <f>J4*10^-6*28.055*B4*G4*10^-3</f>
        <v>5.4710588175855253E-5</v>
      </c>
      <c r="L4" s="17">
        <v>7.9720000000000013E-2</v>
      </c>
      <c r="M4" s="18">
        <f>K4*100/L4</f>
        <v>6.8628434741414002E-2</v>
      </c>
      <c r="O4" t="s">
        <v>107</v>
      </c>
      <c r="P4" t="s">
        <v>120</v>
      </c>
      <c r="Q4" t="s">
        <v>42</v>
      </c>
    </row>
    <row r="5" spans="1:21" x14ac:dyDescent="0.35">
      <c r="A5" s="137"/>
      <c r="B5" s="14">
        <v>40.369999999999997</v>
      </c>
      <c r="C5" s="14">
        <v>0.99</v>
      </c>
      <c r="D5" s="23">
        <v>0.625</v>
      </c>
      <c r="E5" s="14">
        <v>9.26</v>
      </c>
      <c r="F5" s="22">
        <f t="shared" ref="F5:F53" si="0">D5+E5+C5</f>
        <v>10.875</v>
      </c>
      <c r="G5" s="19">
        <f t="shared" ref="G5:G53" si="1">F5/C5</f>
        <v>10.984848484848484</v>
      </c>
      <c r="I5" s="67">
        <v>1</v>
      </c>
      <c r="J5" s="14">
        <v>4.6279818250662617</v>
      </c>
      <c r="K5" s="14">
        <f>J5*10^-6*28.055*B5*G5*10^-3</f>
        <v>5.7577756432419836E-5</v>
      </c>
      <c r="L5" s="14">
        <v>7.9810000000000006E-2</v>
      </c>
      <c r="M5" s="19">
        <f t="shared" ref="M5:M53" si="2">K5*100/L5</f>
        <v>7.2143536439568764E-2</v>
      </c>
      <c r="O5">
        <v>1</v>
      </c>
      <c r="P5" s="96">
        <f>AVERAGE(M4:M8)</f>
        <v>6.6062694052616361E-2</v>
      </c>
      <c r="Q5" s="96">
        <f>STDEV(M4:M8)</f>
        <v>4.4819925258949376E-3</v>
      </c>
      <c r="R5" s="77"/>
    </row>
    <row r="6" spans="1:21" x14ac:dyDescent="0.35">
      <c r="A6" s="137"/>
      <c r="B6" s="14">
        <v>40.049999999999997</v>
      </c>
      <c r="C6" s="14">
        <v>1</v>
      </c>
      <c r="D6" s="23">
        <v>0.625</v>
      </c>
      <c r="E6" s="14">
        <v>9.27</v>
      </c>
      <c r="F6" s="22">
        <f t="shared" si="0"/>
        <v>10.895</v>
      </c>
      <c r="G6" s="19">
        <f t="shared" si="1"/>
        <v>10.895</v>
      </c>
      <c r="I6" s="66">
        <v>1</v>
      </c>
      <c r="J6" s="14">
        <v>4.5323741007194238</v>
      </c>
      <c r="K6" s="14">
        <f>J6*10^-6*28.055*B6*10*10^-3</f>
        <v>5.0925880035971204E-5</v>
      </c>
      <c r="L6" s="14">
        <v>7.9750000000000001E-2</v>
      </c>
      <c r="M6" s="19">
        <f t="shared" si="2"/>
        <v>6.3856902866421567E-2</v>
      </c>
      <c r="O6">
        <v>2</v>
      </c>
      <c r="P6" s="96">
        <f>AVERAGE(M9:M13)</f>
        <v>8.6541407309792068E-2</v>
      </c>
      <c r="Q6" s="96">
        <f>STDEV(M9:M13)</f>
        <v>2.074100425308323E-3</v>
      </c>
    </row>
    <row r="7" spans="1:21" x14ac:dyDescent="0.35">
      <c r="A7" s="137"/>
      <c r="B7" s="14">
        <v>40.01</v>
      </c>
      <c r="C7" s="14">
        <v>0.99</v>
      </c>
      <c r="D7" s="23">
        <v>0.625</v>
      </c>
      <c r="E7" s="14">
        <v>9.26</v>
      </c>
      <c r="F7" s="22">
        <f t="shared" si="0"/>
        <v>10.875</v>
      </c>
      <c r="G7" s="19">
        <f t="shared" si="1"/>
        <v>10.984848484848484</v>
      </c>
      <c r="I7" s="67">
        <v>1</v>
      </c>
      <c r="J7" s="14">
        <v>4.6270352139341151</v>
      </c>
      <c r="K7" s="14">
        <f t="shared" ref="K7:K8" si="3">J7*10^-6*28.055*B7*10*10^-3</f>
        <v>5.1937570318061339E-5</v>
      </c>
      <c r="L7" s="14">
        <v>7.9649999999999999E-2</v>
      </c>
      <c r="M7" s="19">
        <f t="shared" si="2"/>
        <v>6.5207244592669605E-2</v>
      </c>
      <c r="O7">
        <v>3</v>
      </c>
      <c r="P7" s="96">
        <f>AVERAGE(M14:M18)</f>
        <v>9.1242404141438527E-2</v>
      </c>
      <c r="Q7" s="96">
        <f>STDEV(M14:M18)</f>
        <v>1.2907233859394188E-3</v>
      </c>
    </row>
    <row r="8" spans="1:21" x14ac:dyDescent="0.35">
      <c r="A8" s="138"/>
      <c r="B8" s="20">
        <v>40.020000000000003</v>
      </c>
      <c r="C8" s="20">
        <v>1</v>
      </c>
      <c r="D8" s="24">
        <v>0.625</v>
      </c>
      <c r="E8" s="20">
        <v>9.26</v>
      </c>
      <c r="F8" s="22">
        <f t="shared" si="0"/>
        <v>10.885</v>
      </c>
      <c r="G8" s="21">
        <f t="shared" si="1"/>
        <v>10.885</v>
      </c>
      <c r="I8" s="66">
        <v>1</v>
      </c>
      <c r="J8" s="20">
        <v>4.2957213176826947</v>
      </c>
      <c r="K8" s="20">
        <f t="shared" si="3"/>
        <v>4.8230687919348721E-5</v>
      </c>
      <c r="L8" s="20">
        <v>7.9750000000000001E-2</v>
      </c>
      <c r="M8" s="21">
        <f t="shared" si="2"/>
        <v>6.0477351623007797E-2</v>
      </c>
      <c r="O8">
        <v>4</v>
      </c>
      <c r="P8" s="96">
        <f>AVERAGE(M19:M23)</f>
        <v>9.8446030387508987E-2</v>
      </c>
      <c r="Q8" s="96">
        <f>STDEV(M19:M23)</f>
        <v>2.7831581358825803E-3</v>
      </c>
    </row>
    <row r="9" spans="1:21" x14ac:dyDescent="0.35">
      <c r="A9" s="137" t="s">
        <v>47</v>
      </c>
      <c r="B9" s="14">
        <v>40.01</v>
      </c>
      <c r="C9" s="14">
        <v>0.98</v>
      </c>
      <c r="D9" s="23">
        <v>0.625</v>
      </c>
      <c r="E9" s="14">
        <v>9.2799999999999994</v>
      </c>
      <c r="F9" s="22">
        <f t="shared" si="0"/>
        <v>10.885</v>
      </c>
      <c r="G9" s="19">
        <f t="shared" si="1"/>
        <v>11.107142857142858</v>
      </c>
      <c r="I9" s="66">
        <v>2</v>
      </c>
      <c r="J9" s="14">
        <v>5.6588413479742519</v>
      </c>
      <c r="K9" s="14">
        <f>J9*10^-6*28.055*(B9-C4)*G9*10^-3</f>
        <v>6.8788541160237586E-5</v>
      </c>
      <c r="L9" s="14">
        <v>7.9720000000000013E-2</v>
      </c>
      <c r="M9" s="19">
        <f>K9*100/L9</f>
        <v>8.6287683341993951E-2</v>
      </c>
      <c r="O9">
        <v>5</v>
      </c>
      <c r="P9" s="96">
        <f>AVERAGE(M24:M28)</f>
        <v>0.10937937644287307</v>
      </c>
      <c r="Q9" s="96">
        <f>STDEV(M24:M28)</f>
        <v>4.9916046657761861E-3</v>
      </c>
    </row>
    <row r="10" spans="1:21" x14ac:dyDescent="0.35">
      <c r="A10" s="137"/>
      <c r="B10" s="14">
        <v>40.369999999999997</v>
      </c>
      <c r="C10" s="14">
        <v>0.98</v>
      </c>
      <c r="D10" s="23">
        <v>0.625</v>
      </c>
      <c r="E10" s="14">
        <v>9.3000000000000007</v>
      </c>
      <c r="F10" s="22">
        <f t="shared" si="0"/>
        <v>10.905000000000001</v>
      </c>
      <c r="G10" s="19">
        <f t="shared" si="1"/>
        <v>11.127551020408164</v>
      </c>
      <c r="I10" s="66">
        <v>2</v>
      </c>
      <c r="J10" s="14">
        <v>5.8254449072321091</v>
      </c>
      <c r="K10" s="14">
        <f t="shared" ref="K10:K12" si="4">J10*10^-6*28.055*(B10-C5)*G10*10^-3</f>
        <v>7.1616761509326043E-5</v>
      </c>
      <c r="L10" s="14">
        <v>7.9810000000000006E-2</v>
      </c>
      <c r="M10" s="19">
        <f t="shared" si="2"/>
        <v>8.9734070303628663E-2</v>
      </c>
      <c r="O10">
        <v>6</v>
      </c>
      <c r="P10" s="96">
        <f>AVERAGE(M29:M33)</f>
        <v>0.11883490406236148</v>
      </c>
      <c r="Q10" s="96">
        <f>STDEV(M29:M33)</f>
        <v>6.4198815766931296E-3</v>
      </c>
    </row>
    <row r="11" spans="1:21" x14ac:dyDescent="0.35">
      <c r="A11" s="137"/>
      <c r="B11" s="14">
        <v>40.049999999999997</v>
      </c>
      <c r="C11" s="14">
        <v>1</v>
      </c>
      <c r="D11" s="23">
        <v>0.625</v>
      </c>
      <c r="E11" s="14">
        <v>9.2799999999999994</v>
      </c>
      <c r="F11" s="22">
        <f t="shared" si="0"/>
        <v>10.904999999999999</v>
      </c>
      <c r="G11" s="19">
        <f t="shared" si="1"/>
        <v>10.904999999999999</v>
      </c>
      <c r="I11" s="66">
        <v>2</v>
      </c>
      <c r="J11" s="14">
        <v>5.6276031806134039</v>
      </c>
      <c r="K11" s="14">
        <f>J11*10^-6*28.055*(B11-C6)*G11*10^-3</f>
        <v>6.7232683766323112E-5</v>
      </c>
      <c r="L11" s="14">
        <v>7.9750000000000001E-2</v>
      </c>
      <c r="M11" s="19">
        <f t="shared" si="2"/>
        <v>8.4304305663101084E-2</v>
      </c>
      <c r="O11">
        <v>8</v>
      </c>
      <c r="P11" s="96">
        <f>AVERAGE(M34:M38)</f>
        <v>0.13719900017991771</v>
      </c>
      <c r="Q11" s="96">
        <f>STDEV(M34:M38)</f>
        <v>6.7084232896283394E-3</v>
      </c>
    </row>
    <row r="12" spans="1:21" x14ac:dyDescent="0.35">
      <c r="A12" s="137"/>
      <c r="B12" s="14">
        <v>40.01</v>
      </c>
      <c r="C12" s="14">
        <v>1</v>
      </c>
      <c r="D12" s="23">
        <v>0.625</v>
      </c>
      <c r="E12" s="14">
        <v>9.33</v>
      </c>
      <c r="F12" s="22">
        <f t="shared" si="0"/>
        <v>10.955</v>
      </c>
      <c r="G12" s="19">
        <f t="shared" si="1"/>
        <v>10.955</v>
      </c>
      <c r="I12" s="66">
        <v>2</v>
      </c>
      <c r="J12" s="14">
        <v>5.7856872396819385</v>
      </c>
      <c r="K12" s="14">
        <f t="shared" si="4"/>
        <v>6.9384885033563036E-5</v>
      </c>
      <c r="L12" s="14">
        <v>7.9649999999999999E-2</v>
      </c>
      <c r="M12" s="19">
        <f t="shared" si="2"/>
        <v>8.711222226436037E-2</v>
      </c>
      <c r="O12">
        <v>24</v>
      </c>
      <c r="P12" s="96">
        <f>AVERAGE(M39:M43)</f>
        <v>0.15176496720270943</v>
      </c>
      <c r="Q12" s="96">
        <f>STDEV(M39:M43)</f>
        <v>1.0373088902470482E-3</v>
      </c>
    </row>
    <row r="13" spans="1:21" x14ac:dyDescent="0.35">
      <c r="A13" s="137"/>
      <c r="B13" s="14">
        <v>40.020000000000003</v>
      </c>
      <c r="C13" s="14">
        <v>0.99</v>
      </c>
      <c r="D13" s="23">
        <v>0.625</v>
      </c>
      <c r="E13" s="14">
        <v>9.3000000000000007</v>
      </c>
      <c r="F13" s="22">
        <f t="shared" si="0"/>
        <v>10.915000000000001</v>
      </c>
      <c r="G13" s="19">
        <f t="shared" si="1"/>
        <v>11.025252525252526</v>
      </c>
      <c r="I13" s="68">
        <v>2</v>
      </c>
      <c r="J13" s="14">
        <v>5.6342294585384325</v>
      </c>
      <c r="K13" s="14">
        <f>J13*10^-6*28.055*(B13-C8)*G13*10^-3</f>
        <v>6.8001832093261279E-5</v>
      </c>
      <c r="L13" s="14">
        <v>7.9750000000000001E-2</v>
      </c>
      <c r="M13" s="19">
        <f t="shared" si="2"/>
        <v>8.5268754975876215E-2</v>
      </c>
      <c r="O13">
        <v>48</v>
      </c>
      <c r="P13" s="96">
        <f>AVERAGE(M44:M48)</f>
        <v>0.14383356847242734</v>
      </c>
      <c r="Q13" s="96">
        <f>STDEV(M44:M48)</f>
        <v>1.4488377347084418E-3</v>
      </c>
    </row>
    <row r="14" spans="1:21" x14ac:dyDescent="0.35">
      <c r="A14" s="136" t="s">
        <v>48</v>
      </c>
      <c r="B14" s="17">
        <v>40.01</v>
      </c>
      <c r="C14" s="17">
        <v>0.99</v>
      </c>
      <c r="D14" s="22">
        <v>0.625</v>
      </c>
      <c r="E14" s="17">
        <v>9.25</v>
      </c>
      <c r="F14" s="22">
        <f t="shared" si="0"/>
        <v>10.865</v>
      </c>
      <c r="G14" s="18">
        <f t="shared" si="1"/>
        <v>10.974747474747476</v>
      </c>
      <c r="I14" s="67">
        <v>3</v>
      </c>
      <c r="J14" s="17">
        <v>6.1771109428246866</v>
      </c>
      <c r="K14" s="17">
        <f>J14*10^-6*28.055*(B14-C9-C4)*G14*10^-3</f>
        <v>7.2329678714200759E-5</v>
      </c>
      <c r="L14" s="17">
        <v>7.9720000000000013E-2</v>
      </c>
      <c r="M14" s="18">
        <f t="shared" si="2"/>
        <v>9.0729652175364703E-2</v>
      </c>
      <c r="O14">
        <v>72</v>
      </c>
      <c r="P14" s="96">
        <f>AVERAGE(M49:M53)</f>
        <v>0.13664554246454502</v>
      </c>
      <c r="Q14" s="96">
        <f>STDEV(M49:M53)</f>
        <v>8.4501220162701317E-4</v>
      </c>
    </row>
    <row r="15" spans="1:21" x14ac:dyDescent="0.35">
      <c r="A15" s="137"/>
      <c r="B15" s="14">
        <v>40.369999999999997</v>
      </c>
      <c r="C15" s="14">
        <v>0.99</v>
      </c>
      <c r="D15" s="23">
        <v>0.625</v>
      </c>
      <c r="E15" s="14">
        <v>9.27</v>
      </c>
      <c r="F15" s="22">
        <f t="shared" si="0"/>
        <v>10.885</v>
      </c>
      <c r="G15" s="19">
        <f t="shared" si="1"/>
        <v>10.994949494949495</v>
      </c>
      <c r="I15" s="67">
        <v>3</v>
      </c>
      <c r="J15" s="14">
        <v>6.2310677773570609</v>
      </c>
      <c r="K15" s="14">
        <f t="shared" ref="K15:K18" si="5">J15*10^-6*28.055*(B15-C10-C5)*G15*10^-3</f>
        <v>7.3806941932004635E-5</v>
      </c>
      <c r="L15" s="14">
        <v>7.9810000000000006E-2</v>
      </c>
      <c r="M15" s="19">
        <f t="shared" si="2"/>
        <v>9.2478313409353002E-2</v>
      </c>
    </row>
    <row r="16" spans="1:21" x14ac:dyDescent="0.35">
      <c r="A16" s="137"/>
      <c r="B16" s="14">
        <v>40.049999999999997</v>
      </c>
      <c r="C16" s="14">
        <v>0.98</v>
      </c>
      <c r="D16" s="23">
        <v>0.625</v>
      </c>
      <c r="E16" s="14">
        <v>9.2799999999999994</v>
      </c>
      <c r="F16" s="22">
        <f t="shared" si="0"/>
        <v>10.885</v>
      </c>
      <c r="G16" s="19">
        <f t="shared" si="1"/>
        <v>11.107142857142858</v>
      </c>
      <c r="I16" s="67">
        <v>3</v>
      </c>
      <c r="J16" s="14">
        <v>6.1392464975388101</v>
      </c>
      <c r="K16" s="14">
        <f t="shared" si="5"/>
        <v>7.2791783941718319E-5</v>
      </c>
      <c r="L16" s="14">
        <v>7.9750000000000001E-2</v>
      </c>
      <c r="M16" s="19">
        <f t="shared" si="2"/>
        <v>9.1274964190242405E-2</v>
      </c>
    </row>
    <row r="17" spans="1:13" x14ac:dyDescent="0.35">
      <c r="A17" s="137"/>
      <c r="B17" s="14">
        <v>40.01</v>
      </c>
      <c r="C17" s="14">
        <v>0.99</v>
      </c>
      <c r="D17" s="23">
        <v>0.625</v>
      </c>
      <c r="E17" s="14">
        <v>9.33</v>
      </c>
      <c r="F17" s="22">
        <f t="shared" si="0"/>
        <v>10.945</v>
      </c>
      <c r="G17" s="19">
        <f t="shared" si="1"/>
        <v>11.055555555555555</v>
      </c>
      <c r="I17" s="67">
        <v>3</v>
      </c>
      <c r="J17" s="14">
        <v>6.2395872775463825</v>
      </c>
      <c r="K17" s="14">
        <f t="shared" si="5"/>
        <v>7.3579836888612766E-5</v>
      </c>
      <c r="L17" s="14">
        <v>7.9649999999999999E-2</v>
      </c>
      <c r="M17" s="19">
        <f t="shared" si="2"/>
        <v>9.2378954034667629E-2</v>
      </c>
    </row>
    <row r="18" spans="1:13" x14ac:dyDescent="0.35">
      <c r="A18" s="138"/>
      <c r="B18" s="20">
        <v>40.020000000000003</v>
      </c>
      <c r="C18" s="20">
        <v>0.99</v>
      </c>
      <c r="D18" s="24">
        <v>0.625</v>
      </c>
      <c r="E18" s="20">
        <v>9.2200000000000006</v>
      </c>
      <c r="F18" s="22">
        <f t="shared" si="0"/>
        <v>10.835000000000001</v>
      </c>
      <c r="G18" s="21">
        <f t="shared" si="1"/>
        <v>10.944444444444445</v>
      </c>
      <c r="I18" s="67">
        <v>3</v>
      </c>
      <c r="J18" s="20">
        <v>6.1023286633850802</v>
      </c>
      <c r="K18" s="20">
        <f t="shared" si="5"/>
        <v>7.1256734175808036E-5</v>
      </c>
      <c r="L18" s="20">
        <v>7.9750000000000001E-2</v>
      </c>
      <c r="M18" s="21">
        <f t="shared" si="2"/>
        <v>8.9350136897564922E-2</v>
      </c>
    </row>
    <row r="19" spans="1:13" x14ac:dyDescent="0.35">
      <c r="A19" s="137" t="s">
        <v>49</v>
      </c>
      <c r="B19" s="14">
        <v>40.01</v>
      </c>
      <c r="C19" s="14">
        <v>0.98</v>
      </c>
      <c r="D19" s="23">
        <v>0.625</v>
      </c>
      <c r="E19" s="14">
        <v>9.2799999999999994</v>
      </c>
      <c r="F19" s="22">
        <f t="shared" si="0"/>
        <v>10.885</v>
      </c>
      <c r="G19" s="19">
        <f t="shared" si="1"/>
        <v>11.107142857142858</v>
      </c>
      <c r="I19" s="66">
        <v>4</v>
      </c>
      <c r="J19" s="14">
        <v>7.0284298876688123</v>
      </c>
      <c r="K19" s="14">
        <f>J19*10^-6*28.055*(B19-C4-C9-C14)*G19*10^-3</f>
        <v>8.1122611981678577E-5</v>
      </c>
      <c r="L19" s="14">
        <v>7.9720000000000013E-2</v>
      </c>
      <c r="M19" s="19">
        <f t="shared" si="2"/>
        <v>0.10175942295744927</v>
      </c>
    </row>
    <row r="20" spans="1:13" x14ac:dyDescent="0.35">
      <c r="A20" s="137"/>
      <c r="B20" s="14">
        <v>40.369999999999997</v>
      </c>
      <c r="C20" s="14">
        <v>0.99</v>
      </c>
      <c r="D20" s="23">
        <v>0.625</v>
      </c>
      <c r="E20" s="14">
        <v>9.2799999999999994</v>
      </c>
      <c r="F20" s="22">
        <f t="shared" si="0"/>
        <v>10.895</v>
      </c>
      <c r="G20" s="19">
        <f t="shared" si="1"/>
        <v>11.005050505050505</v>
      </c>
      <c r="I20" s="67">
        <v>4</v>
      </c>
      <c r="J20" s="14">
        <v>6.7605389372712352</v>
      </c>
      <c r="K20" s="14">
        <f t="shared" ref="K20:K23" si="6">J20*10^-6*28.055*(B20-C5-C10-C15)*G20*10^-3</f>
        <v>7.8085669754829256E-5</v>
      </c>
      <c r="L20" s="14">
        <v>7.9810000000000006E-2</v>
      </c>
      <c r="M20" s="19">
        <f t="shared" si="2"/>
        <v>9.783945590130215E-2</v>
      </c>
    </row>
    <row r="21" spans="1:13" x14ac:dyDescent="0.35">
      <c r="A21" s="137"/>
      <c r="B21" s="14">
        <v>40.049999999999997</v>
      </c>
      <c r="C21" s="14">
        <v>0.98</v>
      </c>
      <c r="D21" s="23">
        <v>0.625</v>
      </c>
      <c r="E21" s="14">
        <v>9.26</v>
      </c>
      <c r="F21" s="22">
        <f t="shared" si="0"/>
        <v>10.865</v>
      </c>
      <c r="G21" s="19">
        <f t="shared" si="1"/>
        <v>11.086734693877551</v>
      </c>
      <c r="I21" s="66">
        <v>4</v>
      </c>
      <c r="J21" s="14">
        <v>6.9347153855862675</v>
      </c>
      <c r="K21" s="14">
        <f t="shared" si="6"/>
        <v>7.9958595227995428E-5</v>
      </c>
      <c r="L21" s="14">
        <v>7.9750000000000001E-2</v>
      </c>
      <c r="M21" s="19">
        <f t="shared" si="2"/>
        <v>0.10026156141441432</v>
      </c>
    </row>
    <row r="22" spans="1:13" x14ac:dyDescent="0.35">
      <c r="A22" s="137"/>
      <c r="B22" s="14">
        <v>40.01</v>
      </c>
      <c r="C22" s="14">
        <v>0.99</v>
      </c>
      <c r="D22" s="23">
        <v>0.625</v>
      </c>
      <c r="E22" s="25">
        <v>9.26</v>
      </c>
      <c r="F22" s="22">
        <f t="shared" si="0"/>
        <v>10.875</v>
      </c>
      <c r="G22" s="19">
        <f t="shared" si="1"/>
        <v>10.984848484848484</v>
      </c>
      <c r="I22" s="67">
        <v>4</v>
      </c>
      <c r="J22" s="14">
        <v>6.8353212167108417</v>
      </c>
      <c r="K22" s="14">
        <f t="shared" si="6"/>
        <v>7.8004019928569693E-5</v>
      </c>
      <c r="L22" s="14">
        <v>7.9649999999999999E-2</v>
      </c>
      <c r="M22" s="19">
        <f t="shared" si="2"/>
        <v>9.7933483902786819E-2</v>
      </c>
    </row>
    <row r="23" spans="1:13" x14ac:dyDescent="0.35">
      <c r="A23" s="137"/>
      <c r="B23" s="14">
        <v>40.020000000000003</v>
      </c>
      <c r="C23" s="14">
        <v>0.99</v>
      </c>
      <c r="D23" s="23">
        <v>0.625</v>
      </c>
      <c r="E23" s="14">
        <v>9.26</v>
      </c>
      <c r="F23" s="22">
        <f t="shared" si="0"/>
        <v>10.875</v>
      </c>
      <c r="G23" s="19">
        <f t="shared" si="1"/>
        <v>10.984848484848484</v>
      </c>
      <c r="I23" s="68">
        <v>4</v>
      </c>
      <c r="J23" s="14">
        <v>6.597721822541966</v>
      </c>
      <c r="K23" s="14">
        <f t="shared" si="6"/>
        <v>7.5312891639869902E-5</v>
      </c>
      <c r="L23" s="14">
        <v>7.9750000000000001E-2</v>
      </c>
      <c r="M23" s="19">
        <f t="shared" si="2"/>
        <v>9.4436227761592342E-2</v>
      </c>
    </row>
    <row r="24" spans="1:13" x14ac:dyDescent="0.35">
      <c r="A24" s="136" t="s">
        <v>50</v>
      </c>
      <c r="B24" s="17">
        <v>40.01</v>
      </c>
      <c r="C24" s="17">
        <v>0.99</v>
      </c>
      <c r="D24" s="22">
        <v>0.625</v>
      </c>
      <c r="E24" s="17">
        <v>9.34</v>
      </c>
      <c r="F24" s="22">
        <f t="shared" si="0"/>
        <v>10.955</v>
      </c>
      <c r="G24" s="18">
        <f t="shared" si="1"/>
        <v>11.065656565656566</v>
      </c>
      <c r="I24" s="67">
        <v>5</v>
      </c>
      <c r="J24" s="17">
        <v>8.0720686608607846</v>
      </c>
      <c r="K24" s="17">
        <f>J24*10^-6*28.055*(B24-C4-C9-C19)*G24*10^-3</f>
        <v>9.2845427448177829E-5</v>
      </c>
      <c r="L24" s="17">
        <v>7.9720000000000013E-2</v>
      </c>
      <c r="M24" s="18">
        <f t="shared" si="2"/>
        <v>0.11646440974432742</v>
      </c>
    </row>
    <row r="25" spans="1:13" x14ac:dyDescent="0.35">
      <c r="A25" s="137"/>
      <c r="B25" s="14">
        <v>40.369999999999997</v>
      </c>
      <c r="C25" s="14">
        <v>0.99</v>
      </c>
      <c r="D25" s="23">
        <v>0.625</v>
      </c>
      <c r="E25" s="14">
        <v>9.34</v>
      </c>
      <c r="F25" s="22">
        <f t="shared" si="0"/>
        <v>10.955</v>
      </c>
      <c r="G25" s="19">
        <f t="shared" si="1"/>
        <v>11.065656565656566</v>
      </c>
      <c r="I25" s="67">
        <v>5</v>
      </c>
      <c r="J25" s="14">
        <v>7.3696832008077742</v>
      </c>
      <c r="K25" s="14">
        <f t="shared" ref="K25:K28" si="7">J25*10^-6*28.055*(B25-C5-C10-C20)*G25*10^-3</f>
        <v>8.5590189487962727E-5</v>
      </c>
      <c r="L25" s="14">
        <v>7.9810000000000006E-2</v>
      </c>
      <c r="M25" s="19">
        <f t="shared" si="2"/>
        <v>0.10724243764937065</v>
      </c>
    </row>
    <row r="26" spans="1:13" x14ac:dyDescent="0.35">
      <c r="A26" s="137"/>
      <c r="B26" s="14">
        <v>40.049999999999997</v>
      </c>
      <c r="C26" s="14">
        <v>1</v>
      </c>
      <c r="D26" s="23">
        <v>0.625</v>
      </c>
      <c r="E26" s="14">
        <v>9.32</v>
      </c>
      <c r="F26" s="22">
        <f t="shared" si="0"/>
        <v>10.945</v>
      </c>
      <c r="G26" s="19">
        <f t="shared" si="1"/>
        <v>10.945</v>
      </c>
      <c r="I26" s="67">
        <v>5</v>
      </c>
      <c r="J26" s="14">
        <v>7.8742269342420794</v>
      </c>
      <c r="K26" s="14">
        <f t="shared" si="7"/>
        <v>8.9630651236164869E-5</v>
      </c>
      <c r="L26" s="14">
        <v>7.9750000000000001E-2</v>
      </c>
      <c r="M26" s="19">
        <f t="shared" si="2"/>
        <v>0.11238953133061426</v>
      </c>
    </row>
    <row r="27" spans="1:13" x14ac:dyDescent="0.35">
      <c r="A27" s="137"/>
      <c r="B27" s="14">
        <v>40.01</v>
      </c>
      <c r="C27" s="14">
        <v>1</v>
      </c>
      <c r="D27" s="23">
        <v>0.625</v>
      </c>
      <c r="E27" s="14">
        <v>9.33</v>
      </c>
      <c r="F27" s="22">
        <f t="shared" si="0"/>
        <v>10.955</v>
      </c>
      <c r="G27" s="19">
        <f t="shared" si="1"/>
        <v>10.955</v>
      </c>
      <c r="I27" s="67">
        <v>5</v>
      </c>
      <c r="J27" s="14">
        <v>7.4775968698725226</v>
      </c>
      <c r="K27" s="14">
        <f t="shared" si="7"/>
        <v>8.5101735113080106E-5</v>
      </c>
      <c r="L27" s="14">
        <v>7.9649999999999999E-2</v>
      </c>
      <c r="M27" s="19">
        <f t="shared" si="2"/>
        <v>0.10684461407794113</v>
      </c>
    </row>
    <row r="28" spans="1:13" x14ac:dyDescent="0.35">
      <c r="A28" s="138"/>
      <c r="B28" s="20">
        <v>40.020000000000003</v>
      </c>
      <c r="C28" s="20">
        <v>1</v>
      </c>
      <c r="D28" s="24">
        <v>0.625</v>
      </c>
      <c r="E28" s="20">
        <v>9.33</v>
      </c>
      <c r="F28" s="22">
        <f t="shared" si="0"/>
        <v>10.955</v>
      </c>
      <c r="G28" s="21">
        <f t="shared" si="1"/>
        <v>10.955</v>
      </c>
      <c r="I28" s="67">
        <v>5</v>
      </c>
      <c r="J28" s="20">
        <v>7.282594976650258</v>
      </c>
      <c r="K28" s="20">
        <f t="shared" si="7"/>
        <v>8.2904821806159288E-5</v>
      </c>
      <c r="L28" s="20">
        <v>7.9750000000000001E-2</v>
      </c>
      <c r="M28" s="21">
        <f t="shared" si="2"/>
        <v>0.10395588941211195</v>
      </c>
    </row>
    <row r="29" spans="1:13" x14ac:dyDescent="0.35">
      <c r="A29" s="136" t="s">
        <v>51</v>
      </c>
      <c r="B29" s="17">
        <v>40.01</v>
      </c>
      <c r="C29" s="17">
        <v>0.99</v>
      </c>
      <c r="D29" s="22">
        <v>0.625</v>
      </c>
      <c r="E29" s="17">
        <v>9.25</v>
      </c>
      <c r="F29" s="22">
        <f t="shared" si="0"/>
        <v>10.865</v>
      </c>
      <c r="G29" s="18">
        <f t="shared" si="1"/>
        <v>10.974747474747476</v>
      </c>
      <c r="I29" s="66">
        <v>6</v>
      </c>
      <c r="J29" s="14">
        <v>9.1217026378896886</v>
      </c>
      <c r="K29" s="14">
        <f>J29*10^-6*28.055*(B29-C4-C9*10*10^-3-C14-C19-C24)*G29*10^-3</f>
        <v>1.0122036798835219E-4</v>
      </c>
      <c r="L29" s="14">
        <v>7.9720000000000013E-2</v>
      </c>
      <c r="M29" s="19">
        <f t="shared" si="2"/>
        <v>0.12696985447610659</v>
      </c>
    </row>
    <row r="30" spans="1:13" x14ac:dyDescent="0.35">
      <c r="A30" s="137"/>
      <c r="B30" s="14">
        <v>40.369999999999997</v>
      </c>
      <c r="C30" s="14">
        <v>1</v>
      </c>
      <c r="D30" s="23">
        <v>0.625</v>
      </c>
      <c r="E30" s="14">
        <v>9.2899999999999991</v>
      </c>
      <c r="F30" s="22">
        <f t="shared" si="0"/>
        <v>10.914999999999999</v>
      </c>
      <c r="G30" s="19">
        <f t="shared" si="1"/>
        <v>10.914999999999999</v>
      </c>
      <c r="I30" s="67">
        <v>6</v>
      </c>
      <c r="J30" s="14">
        <v>8.1400668938533389</v>
      </c>
      <c r="K30" s="14">
        <f t="shared" ref="K30:K33" si="8">J30*10^-6*28.055*(B30-C5-C10*10*10^-3-C15-C20-C25)*G30*10^-3</f>
        <v>9.0733101573959286E-5</v>
      </c>
      <c r="L30" s="14">
        <v>7.9810000000000006E-2</v>
      </c>
      <c r="M30" s="19">
        <f t="shared" si="2"/>
        <v>0.11368638212499597</v>
      </c>
    </row>
    <row r="31" spans="1:13" x14ac:dyDescent="0.35">
      <c r="A31" s="137"/>
      <c r="B31" s="14">
        <v>40.049999999999997</v>
      </c>
      <c r="C31" s="14">
        <v>0.99</v>
      </c>
      <c r="D31" s="23">
        <v>0.625</v>
      </c>
      <c r="E31" s="14">
        <v>9.2799999999999994</v>
      </c>
      <c r="F31" s="22">
        <f t="shared" si="0"/>
        <v>10.895</v>
      </c>
      <c r="G31" s="19">
        <f t="shared" si="1"/>
        <v>11.005050505050505</v>
      </c>
      <c r="I31" s="66">
        <v>6</v>
      </c>
      <c r="J31" s="14">
        <v>8.8973557995708692</v>
      </c>
      <c r="K31" s="14">
        <f t="shared" si="8"/>
        <v>9.9112812451635166E-5</v>
      </c>
      <c r="L31" s="14">
        <v>7.9750000000000001E-2</v>
      </c>
      <c r="M31" s="19">
        <f t="shared" si="2"/>
        <v>0.12427938865408798</v>
      </c>
    </row>
    <row r="32" spans="1:13" x14ac:dyDescent="0.35">
      <c r="A32" s="137"/>
      <c r="B32" s="14">
        <v>40.01</v>
      </c>
      <c r="C32" s="14">
        <v>0.99</v>
      </c>
      <c r="D32" s="23">
        <v>0.625</v>
      </c>
      <c r="E32" s="14">
        <v>9.2799999999999994</v>
      </c>
      <c r="F32" s="22">
        <f t="shared" si="0"/>
        <v>10.895</v>
      </c>
      <c r="G32" s="19">
        <f t="shared" si="1"/>
        <v>11.005050505050505</v>
      </c>
      <c r="I32" s="67">
        <v>6</v>
      </c>
      <c r="J32" s="14">
        <v>8.3407484538684837</v>
      </c>
      <c r="K32" s="14">
        <f t="shared" si="8"/>
        <v>9.278368111223017E-5</v>
      </c>
      <c r="L32" s="14">
        <v>7.9649999999999999E-2</v>
      </c>
      <c r="M32" s="19">
        <f t="shared" si="2"/>
        <v>0.11648924182326451</v>
      </c>
    </row>
    <row r="33" spans="1:13" x14ac:dyDescent="0.35">
      <c r="A33" s="138"/>
      <c r="B33" s="20">
        <v>40.020000000000003</v>
      </c>
      <c r="C33" s="20">
        <v>1</v>
      </c>
      <c r="D33" s="24">
        <v>0.625</v>
      </c>
      <c r="E33" s="20">
        <v>9.26</v>
      </c>
      <c r="F33" s="22">
        <f t="shared" si="0"/>
        <v>10.885</v>
      </c>
      <c r="G33" s="21">
        <f t="shared" si="1"/>
        <v>10.885</v>
      </c>
      <c r="I33" s="66">
        <v>6</v>
      </c>
      <c r="J33" s="14">
        <v>8.1722516723463343</v>
      </c>
      <c r="K33" s="14">
        <f t="shared" si="8"/>
        <v>8.9917848453598448E-5</v>
      </c>
      <c r="L33" s="14">
        <v>7.9750000000000001E-2</v>
      </c>
      <c r="M33" s="19">
        <f t="shared" si="2"/>
        <v>0.11274965323335229</v>
      </c>
    </row>
    <row r="34" spans="1:13" x14ac:dyDescent="0.35">
      <c r="A34" s="137" t="s">
        <v>52</v>
      </c>
      <c r="B34" s="14">
        <v>40.01</v>
      </c>
      <c r="C34" s="14">
        <v>0.99</v>
      </c>
      <c r="D34" s="23">
        <v>0.625</v>
      </c>
      <c r="E34" s="14">
        <v>9.25</v>
      </c>
      <c r="F34" s="22">
        <f t="shared" si="0"/>
        <v>10.865</v>
      </c>
      <c r="G34" s="19">
        <f t="shared" si="1"/>
        <v>10.974747474747476</v>
      </c>
      <c r="I34" s="67">
        <v>8</v>
      </c>
      <c r="J34" s="17">
        <v>11.080398838823676</v>
      </c>
      <c r="K34" s="17">
        <f>J34*10^-6*28.055*(B34-C24-C29-C4-C9-C14-C19)*G34*10^-3</f>
        <v>1.1626788925570738E-4</v>
      </c>
      <c r="L34" s="17">
        <v>7.9720000000000013E-2</v>
      </c>
      <c r="M34" s="18">
        <f t="shared" si="2"/>
        <v>0.14584532019030025</v>
      </c>
    </row>
    <row r="35" spans="1:13" x14ac:dyDescent="0.35">
      <c r="A35" s="137"/>
      <c r="B35" s="14">
        <v>40.369999999999997</v>
      </c>
      <c r="C35" s="14">
        <v>0.98</v>
      </c>
      <c r="D35" s="23">
        <v>0.625</v>
      </c>
      <c r="E35" s="14">
        <v>9.3000000000000007</v>
      </c>
      <c r="F35" s="22">
        <f t="shared" si="0"/>
        <v>10.905000000000001</v>
      </c>
      <c r="G35" s="19">
        <f t="shared" si="1"/>
        <v>11.127551020408164</v>
      </c>
      <c r="I35" s="67">
        <v>8</v>
      </c>
      <c r="J35" s="14">
        <v>9.813833144011106</v>
      </c>
      <c r="K35" s="14">
        <f t="shared" ref="K35:K38" si="9">J35*10^-6*28.055*(B35-C25-C30-C5-C10-C15-C20)*G35*10^-3</f>
        <v>1.0548374974853033E-4</v>
      </c>
      <c r="L35" s="14">
        <v>7.9810000000000006E-2</v>
      </c>
      <c r="M35" s="19">
        <f t="shared" si="2"/>
        <v>0.13216858758116817</v>
      </c>
    </row>
    <row r="36" spans="1:13" x14ac:dyDescent="0.35">
      <c r="A36" s="137"/>
      <c r="B36" s="14">
        <v>40.049999999999997</v>
      </c>
      <c r="C36" s="14">
        <v>0.99</v>
      </c>
      <c r="D36" s="23">
        <v>0.625</v>
      </c>
      <c r="E36" s="14">
        <v>9.2799999999999994</v>
      </c>
      <c r="F36" s="22">
        <f t="shared" si="0"/>
        <v>10.895</v>
      </c>
      <c r="G36" s="19">
        <f t="shared" si="1"/>
        <v>11.005050505050505</v>
      </c>
      <c r="I36" s="67">
        <v>8</v>
      </c>
      <c r="J36" s="14">
        <v>10.839013000126213</v>
      </c>
      <c r="K36" s="14">
        <f t="shared" si="9"/>
        <v>1.1411597079432068E-4</v>
      </c>
      <c r="L36" s="14">
        <v>7.9750000000000001E-2</v>
      </c>
      <c r="M36" s="19">
        <f t="shared" si="2"/>
        <v>0.14309212638786292</v>
      </c>
    </row>
    <row r="37" spans="1:13" x14ac:dyDescent="0.35">
      <c r="A37" s="137"/>
      <c r="B37" s="14">
        <v>40.01</v>
      </c>
      <c r="C37" s="14">
        <v>0.99</v>
      </c>
      <c r="D37" s="23">
        <v>0.625</v>
      </c>
      <c r="E37" s="14">
        <v>9.36</v>
      </c>
      <c r="F37" s="22">
        <f t="shared" si="0"/>
        <v>10.975</v>
      </c>
      <c r="G37" s="19">
        <f t="shared" si="1"/>
        <v>11.085858585858585</v>
      </c>
      <c r="I37" s="67">
        <v>8</v>
      </c>
      <c r="J37" s="14">
        <v>9.9662375362867586</v>
      </c>
      <c r="K37" s="14">
        <f t="shared" si="9"/>
        <v>1.0554264105494906E-4</v>
      </c>
      <c r="L37" s="14">
        <v>7.9649999999999999E-2</v>
      </c>
      <c r="M37" s="19">
        <f t="shared" si="2"/>
        <v>0.13250802392335098</v>
      </c>
    </row>
    <row r="38" spans="1:13" x14ac:dyDescent="0.35">
      <c r="A38" s="137"/>
      <c r="B38" s="14">
        <v>40.020000000000003</v>
      </c>
      <c r="C38" s="14">
        <v>0.99</v>
      </c>
      <c r="D38" s="23">
        <v>0.625</v>
      </c>
      <c r="E38" s="14">
        <v>9.3000000000000007</v>
      </c>
      <c r="F38" s="22">
        <f t="shared" si="0"/>
        <v>10.915000000000001</v>
      </c>
      <c r="G38" s="19">
        <f t="shared" si="1"/>
        <v>11.025252525252526</v>
      </c>
      <c r="I38" s="67">
        <v>8</v>
      </c>
      <c r="J38" s="20">
        <v>10.02398081534772</v>
      </c>
      <c r="K38" s="20">
        <f t="shared" si="9"/>
        <v>1.0557380189648277E-4</v>
      </c>
      <c r="L38" s="20">
        <v>7.9750000000000001E-2</v>
      </c>
      <c r="M38" s="21">
        <f t="shared" si="2"/>
        <v>0.13238094281690629</v>
      </c>
    </row>
    <row r="39" spans="1:13" x14ac:dyDescent="0.35">
      <c r="A39" s="136" t="s">
        <v>36</v>
      </c>
      <c r="B39" s="17">
        <v>40.01</v>
      </c>
      <c r="C39" s="17">
        <v>1</v>
      </c>
      <c r="D39" s="22">
        <v>0.625</v>
      </c>
      <c r="E39" s="17">
        <v>9.2899999999999991</v>
      </c>
      <c r="F39" s="22">
        <f t="shared" si="0"/>
        <v>10.914999999999999</v>
      </c>
      <c r="G39" s="18">
        <f t="shared" si="1"/>
        <v>10.914999999999999</v>
      </c>
      <c r="I39" s="66">
        <v>24</v>
      </c>
      <c r="J39" s="14">
        <v>11.855200050485927</v>
      </c>
      <c r="K39" s="14">
        <f>J39*10^-6*28.055*(B39-C4-C9-C14-C19-C24-C29-C34)*G39*10^-3</f>
        <v>1.2012673329830993E-4</v>
      </c>
      <c r="L39" s="14">
        <v>7.9720000000000013E-2</v>
      </c>
      <c r="M39" s="19">
        <f t="shared" si="2"/>
        <v>0.15068581698232553</v>
      </c>
    </row>
    <row r="40" spans="1:13" x14ac:dyDescent="0.35">
      <c r="A40" s="137"/>
      <c r="B40" s="14">
        <v>40.369999999999997</v>
      </c>
      <c r="C40" s="14">
        <v>0.99</v>
      </c>
      <c r="D40" s="23">
        <v>0.625</v>
      </c>
      <c r="E40" s="14">
        <v>9.32</v>
      </c>
      <c r="F40" s="22">
        <f t="shared" si="0"/>
        <v>10.935</v>
      </c>
      <c r="G40" s="19">
        <f t="shared" si="1"/>
        <v>11.045454545454547</v>
      </c>
      <c r="I40" s="67">
        <v>24</v>
      </c>
      <c r="J40" s="14">
        <v>11.729300769910388</v>
      </c>
      <c r="K40" s="14">
        <f t="shared" ref="K40:K43" si="10">J40*10^-6*28.055*(B40-C5-C10-C15-C20-C25-C30-C35)*G40*10^-3</f>
        <v>1.2157999208963868E-4</v>
      </c>
      <c r="L40" s="14">
        <v>7.9810000000000006E-2</v>
      </c>
      <c r="M40" s="19">
        <f t="shared" si="2"/>
        <v>0.15233678998827049</v>
      </c>
    </row>
    <row r="41" spans="1:13" x14ac:dyDescent="0.35">
      <c r="A41" s="137"/>
      <c r="B41" s="14">
        <v>40.049999999999997</v>
      </c>
      <c r="C41" s="14">
        <v>0.99</v>
      </c>
      <c r="D41" s="23">
        <v>0.625</v>
      </c>
      <c r="E41" s="14">
        <v>9.35</v>
      </c>
      <c r="F41" s="22">
        <f t="shared" si="0"/>
        <v>10.965</v>
      </c>
      <c r="G41" s="19">
        <f t="shared" si="1"/>
        <v>11.075757575757576</v>
      </c>
      <c r="I41" s="67">
        <v>24</v>
      </c>
      <c r="J41" s="14">
        <v>11.864666161807396</v>
      </c>
      <c r="K41" s="14">
        <f t="shared" si="10"/>
        <v>1.2206704129462613E-4</v>
      </c>
      <c r="L41" s="14">
        <v>7.9750000000000001E-2</v>
      </c>
      <c r="M41" s="19">
        <f t="shared" si="2"/>
        <v>0.15306212074561271</v>
      </c>
    </row>
    <row r="42" spans="1:13" x14ac:dyDescent="0.35">
      <c r="A42" s="137"/>
      <c r="B42" s="14">
        <v>40.01</v>
      </c>
      <c r="C42" s="14">
        <v>0.99</v>
      </c>
      <c r="D42" s="23">
        <v>0.625</v>
      </c>
      <c r="E42" s="14">
        <v>9.2799999999999994</v>
      </c>
      <c r="F42" s="22">
        <f t="shared" si="0"/>
        <v>10.895</v>
      </c>
      <c r="G42" s="19">
        <f t="shared" si="1"/>
        <v>11.005050505050505</v>
      </c>
      <c r="I42" s="66">
        <v>24</v>
      </c>
      <c r="J42" s="14">
        <v>11.861826328410956</v>
      </c>
      <c r="K42" s="14">
        <f t="shared" si="10"/>
        <v>1.2107562606589725E-4</v>
      </c>
      <c r="L42" s="14">
        <v>7.9649999999999999E-2</v>
      </c>
      <c r="M42" s="19">
        <f t="shared" si="2"/>
        <v>0.15200957447068081</v>
      </c>
    </row>
    <row r="43" spans="1:13" x14ac:dyDescent="0.35">
      <c r="A43" s="138"/>
      <c r="B43" s="20">
        <v>40.020000000000003</v>
      </c>
      <c r="C43" s="20">
        <v>0.99</v>
      </c>
      <c r="D43" s="24">
        <v>0.625</v>
      </c>
      <c r="E43" s="20">
        <v>9.31</v>
      </c>
      <c r="F43" s="22">
        <f t="shared" si="0"/>
        <v>10.925000000000001</v>
      </c>
      <c r="G43" s="21">
        <f t="shared" si="1"/>
        <v>11.035353535353536</v>
      </c>
      <c r="I43" s="69">
        <v>24</v>
      </c>
      <c r="J43" s="14">
        <v>11.744446548024738</v>
      </c>
      <c r="K43" s="14">
        <f t="shared" si="10"/>
        <v>1.2020760072675948E-4</v>
      </c>
      <c r="L43" s="14">
        <v>7.9750000000000001E-2</v>
      </c>
      <c r="M43" s="19">
        <f t="shared" si="2"/>
        <v>0.15073053382665766</v>
      </c>
    </row>
    <row r="44" spans="1:13" x14ac:dyDescent="0.35">
      <c r="A44" s="137" t="s">
        <v>37</v>
      </c>
      <c r="B44" s="14">
        <v>40.01</v>
      </c>
      <c r="C44" s="14">
        <v>1</v>
      </c>
      <c r="D44" s="23">
        <v>0.625</v>
      </c>
      <c r="E44" s="14">
        <v>9.34</v>
      </c>
      <c r="F44" s="22">
        <f t="shared" si="0"/>
        <v>10.965</v>
      </c>
      <c r="G44" s="19">
        <f t="shared" si="1"/>
        <v>10.965</v>
      </c>
      <c r="I44" s="67">
        <v>48</v>
      </c>
      <c r="J44" s="17">
        <v>11.542502839833395</v>
      </c>
      <c r="K44" s="17">
        <f>J44*10^-6*28.055*(B44-C39-C34-C29-C24-C19-C14-C9-C4)*G44*10^-3</f>
        <v>1.1394325355665574E-4</v>
      </c>
      <c r="L44" s="17">
        <v>7.9720000000000013E-2</v>
      </c>
      <c r="M44" s="18">
        <f t="shared" si="2"/>
        <v>0.14292931956429467</v>
      </c>
    </row>
    <row r="45" spans="1:13" x14ac:dyDescent="0.35">
      <c r="A45" s="137"/>
      <c r="B45" s="14">
        <v>40.369999999999997</v>
      </c>
      <c r="C45" s="14">
        <v>0.99</v>
      </c>
      <c r="D45" s="23">
        <v>0.625</v>
      </c>
      <c r="E45" s="14">
        <v>9.27</v>
      </c>
      <c r="F45" s="22">
        <f t="shared" si="0"/>
        <v>10.885</v>
      </c>
      <c r="G45" s="19">
        <f t="shared" si="1"/>
        <v>10.994949494949495</v>
      </c>
      <c r="I45" s="67">
        <v>48</v>
      </c>
      <c r="J45" s="14">
        <v>11.562381673608481</v>
      </c>
      <c r="K45" s="14">
        <f t="shared" ref="K45:K48" si="11">J45*10^-6*28.055*(B45-C40-C35-C30-C25-C20-C15-C10-C5)*G45*10^-3</f>
        <v>1.1577087844084754E-4</v>
      </c>
      <c r="L45" s="14">
        <v>7.9810000000000006E-2</v>
      </c>
      <c r="M45" s="19">
        <f t="shared" si="2"/>
        <v>0.1450581110648384</v>
      </c>
    </row>
    <row r="46" spans="1:13" x14ac:dyDescent="0.35">
      <c r="A46" s="137"/>
      <c r="B46" s="14">
        <v>40.049999999999997</v>
      </c>
      <c r="C46" s="14">
        <v>0.99</v>
      </c>
      <c r="D46" s="23">
        <v>0.625</v>
      </c>
      <c r="E46" s="14">
        <v>9.3000000000000007</v>
      </c>
      <c r="F46" s="22">
        <f t="shared" si="0"/>
        <v>10.915000000000001</v>
      </c>
      <c r="G46" s="19">
        <f t="shared" si="1"/>
        <v>11.025252525252526</v>
      </c>
      <c r="I46" s="67">
        <v>48</v>
      </c>
      <c r="J46" s="14">
        <v>11.692067398712608</v>
      </c>
      <c r="K46" s="14">
        <f t="shared" si="11"/>
        <v>1.1616242379962869E-4</v>
      </c>
      <c r="L46" s="14">
        <v>7.9750000000000001E-2</v>
      </c>
      <c r="M46" s="19">
        <f t="shared" si="2"/>
        <v>0.14565821166097642</v>
      </c>
    </row>
    <row r="47" spans="1:13" x14ac:dyDescent="0.35">
      <c r="A47" s="137"/>
      <c r="B47" s="14">
        <v>40.01</v>
      </c>
      <c r="C47" s="14">
        <v>1.01</v>
      </c>
      <c r="D47" s="23">
        <v>0.625</v>
      </c>
      <c r="E47" s="14">
        <v>9.3000000000000007</v>
      </c>
      <c r="F47" s="22">
        <f t="shared" si="0"/>
        <v>10.935</v>
      </c>
      <c r="G47" s="19">
        <f t="shared" si="1"/>
        <v>10.826732673267328</v>
      </c>
      <c r="I47" s="67">
        <v>48</v>
      </c>
      <c r="J47" s="14">
        <v>11.711946232487692</v>
      </c>
      <c r="K47" s="14">
        <f t="shared" si="11"/>
        <v>1.140868834456053E-4</v>
      </c>
      <c r="L47" s="14">
        <v>7.9649999999999999E-2</v>
      </c>
      <c r="M47" s="19">
        <f t="shared" si="2"/>
        <v>0.14323525856322072</v>
      </c>
    </row>
    <row r="48" spans="1:13" x14ac:dyDescent="0.35">
      <c r="A48" s="137"/>
      <c r="B48" s="14">
        <v>40.020000000000003</v>
      </c>
      <c r="C48" s="14">
        <v>1</v>
      </c>
      <c r="D48" s="23">
        <v>0.625</v>
      </c>
      <c r="E48" s="14">
        <v>9.2899999999999991</v>
      </c>
      <c r="F48" s="22">
        <f t="shared" si="0"/>
        <v>10.914999999999999</v>
      </c>
      <c r="G48" s="19">
        <f t="shared" si="1"/>
        <v>10.914999999999999</v>
      </c>
      <c r="I48" s="67">
        <v>48</v>
      </c>
      <c r="J48" s="20">
        <v>11.554808784551305</v>
      </c>
      <c r="K48" s="20">
        <f t="shared" si="11"/>
        <v>1.1347383585327319E-4</v>
      </c>
      <c r="L48" s="20">
        <v>7.9750000000000001E-2</v>
      </c>
      <c r="M48" s="21">
        <f t="shared" si="2"/>
        <v>0.1422869415088065</v>
      </c>
    </row>
    <row r="49" spans="1:13" x14ac:dyDescent="0.35">
      <c r="A49" s="136" t="s">
        <v>53</v>
      </c>
      <c r="B49" s="17">
        <v>40.01</v>
      </c>
      <c r="C49" s="17">
        <v>0.99</v>
      </c>
      <c r="D49" s="22">
        <v>0.625</v>
      </c>
      <c r="E49" s="17">
        <v>9.34</v>
      </c>
      <c r="F49" s="22">
        <f t="shared" si="0"/>
        <v>10.955</v>
      </c>
      <c r="G49" s="18">
        <f t="shared" si="1"/>
        <v>11.065656565656566</v>
      </c>
      <c r="I49" s="66">
        <v>72</v>
      </c>
      <c r="J49" s="14">
        <v>11.326833270225924</v>
      </c>
      <c r="K49" s="14">
        <f>J49*10^-6*28.055*(B49-C44-C39-C34-C29-C24-C19-C14-C9-C4)*G49*10^-3</f>
        <v>1.0932429620369676E-4</v>
      </c>
      <c r="L49" s="14">
        <v>7.9720000000000013E-2</v>
      </c>
      <c r="M49" s="19">
        <f t="shared" si="2"/>
        <v>0.1371353439584756</v>
      </c>
    </row>
    <row r="50" spans="1:13" x14ac:dyDescent="0.35">
      <c r="A50" s="137"/>
      <c r="B50" s="14">
        <v>40.369999999999997</v>
      </c>
      <c r="C50" s="14">
        <v>1</v>
      </c>
      <c r="D50" s="23">
        <v>0.625</v>
      </c>
      <c r="E50" s="14">
        <v>9.27</v>
      </c>
      <c r="F50" s="22">
        <f t="shared" si="0"/>
        <v>10.895</v>
      </c>
      <c r="G50" s="19">
        <f t="shared" si="1"/>
        <v>10.895</v>
      </c>
      <c r="I50" s="67">
        <v>72</v>
      </c>
      <c r="J50" s="14">
        <v>11.3344061592831</v>
      </c>
      <c r="K50" s="14">
        <f t="shared" ref="K50:K53" si="12">J50*10^-6*28.055*(B50-C45-C40-C35-C30-C25-C20-C15-C10-C5)*G50*10^-3</f>
        <v>1.0902673880409904E-4</v>
      </c>
      <c r="L50" s="14">
        <v>7.9810000000000006E-2</v>
      </c>
      <c r="M50" s="19">
        <f t="shared" si="2"/>
        <v>0.13660786718969933</v>
      </c>
    </row>
    <row r="51" spans="1:13" x14ac:dyDescent="0.35">
      <c r="A51" s="137"/>
      <c r="B51" s="14">
        <v>40.049999999999997</v>
      </c>
      <c r="C51" s="14">
        <v>0.99</v>
      </c>
      <c r="D51" s="23">
        <v>0.625</v>
      </c>
      <c r="E51" s="14">
        <v>9.31</v>
      </c>
      <c r="F51" s="22">
        <f t="shared" si="0"/>
        <v>10.925000000000001</v>
      </c>
      <c r="G51" s="19">
        <f t="shared" si="1"/>
        <v>11.035353535353536</v>
      </c>
      <c r="I51" s="66">
        <v>72</v>
      </c>
      <c r="J51" s="14">
        <v>11.372270604568977</v>
      </c>
      <c r="K51" s="14">
        <f t="shared" si="12"/>
        <v>1.096030980181688E-4</v>
      </c>
      <c r="L51" s="14">
        <v>7.9750000000000001E-2</v>
      </c>
      <c r="M51" s="19">
        <f t="shared" si="2"/>
        <v>0.13743335174692012</v>
      </c>
    </row>
    <row r="52" spans="1:13" x14ac:dyDescent="0.35">
      <c r="A52" s="137"/>
      <c r="B52" s="14">
        <v>40.01</v>
      </c>
      <c r="C52" s="14">
        <v>0.98</v>
      </c>
      <c r="D52" s="23">
        <v>0.625</v>
      </c>
      <c r="E52" s="14">
        <v>9.2899999999999991</v>
      </c>
      <c r="F52" s="22">
        <f t="shared" si="0"/>
        <v>10.895</v>
      </c>
      <c r="G52" s="19">
        <f t="shared" si="1"/>
        <v>11.11734693877551</v>
      </c>
      <c r="I52" s="67">
        <v>72</v>
      </c>
      <c r="J52" s="14">
        <v>11.248264546257731</v>
      </c>
      <c r="K52" s="14">
        <f t="shared" si="12"/>
        <v>1.0896785580342428E-4</v>
      </c>
      <c r="L52" s="14">
        <v>7.9649999999999999E-2</v>
      </c>
      <c r="M52" s="19">
        <f t="shared" si="2"/>
        <v>0.13680835631315039</v>
      </c>
    </row>
    <row r="53" spans="1:13" x14ac:dyDescent="0.35">
      <c r="A53" s="138"/>
      <c r="B53" s="20">
        <v>40.020000000000003</v>
      </c>
      <c r="C53" s="20">
        <v>1</v>
      </c>
      <c r="D53" s="24">
        <v>0.625</v>
      </c>
      <c r="E53" s="20">
        <v>9.25</v>
      </c>
      <c r="F53" s="22">
        <f t="shared" si="0"/>
        <v>10.875</v>
      </c>
      <c r="G53" s="21">
        <f t="shared" si="1"/>
        <v>10.875</v>
      </c>
      <c r="I53" s="68">
        <v>72</v>
      </c>
      <c r="J53" s="20">
        <v>11.377950271361858</v>
      </c>
      <c r="K53" s="20">
        <f t="shared" si="12"/>
        <v>1.0785612750879754E-4</v>
      </c>
      <c r="L53" s="20">
        <v>7.9750000000000001E-2</v>
      </c>
      <c r="M53" s="21">
        <f t="shared" si="2"/>
        <v>0.13524279311447968</v>
      </c>
    </row>
    <row r="54" spans="1:13" x14ac:dyDescent="0.35">
      <c r="K54" s="14"/>
      <c r="M54" s="14"/>
    </row>
    <row r="55" spans="1:13" x14ac:dyDescent="0.35">
      <c r="K55" s="14"/>
      <c r="M55" s="14"/>
    </row>
    <row r="56" spans="1:13" x14ac:dyDescent="0.35">
      <c r="K56" s="14"/>
      <c r="M56" s="14"/>
    </row>
    <row r="57" spans="1:13" x14ac:dyDescent="0.35">
      <c r="K57" s="14"/>
      <c r="M57" s="14"/>
    </row>
    <row r="58" spans="1:13" x14ac:dyDescent="0.35">
      <c r="K58" s="14"/>
      <c r="M58" s="14"/>
    </row>
    <row r="59" spans="1:13" x14ac:dyDescent="0.35">
      <c r="K59" s="14"/>
      <c r="M59" s="14"/>
    </row>
    <row r="60" spans="1:13" x14ac:dyDescent="0.35">
      <c r="K60" s="14"/>
      <c r="M60" s="14"/>
    </row>
    <row r="61" spans="1:13" x14ac:dyDescent="0.35">
      <c r="K61" s="14"/>
      <c r="M61" s="14"/>
    </row>
    <row r="62" spans="1:13" x14ac:dyDescent="0.35">
      <c r="K62" s="14"/>
      <c r="M62" s="14"/>
    </row>
    <row r="63" spans="1:13" x14ac:dyDescent="0.35">
      <c r="K63" s="14"/>
      <c r="M63" s="14"/>
    </row>
    <row r="64" spans="1:13" x14ac:dyDescent="0.35">
      <c r="K64" s="14"/>
      <c r="M64" s="14"/>
    </row>
    <row r="65" spans="11:13" x14ac:dyDescent="0.35">
      <c r="K65" s="14"/>
      <c r="M65" s="14"/>
    </row>
    <row r="66" spans="11:13" x14ac:dyDescent="0.35">
      <c r="K66" s="14"/>
      <c r="M66" s="14"/>
    </row>
    <row r="67" spans="11:13" x14ac:dyDescent="0.35">
      <c r="K67" s="14"/>
      <c r="M67" s="14"/>
    </row>
    <row r="68" spans="11:13" x14ac:dyDescent="0.35">
      <c r="K68" s="14"/>
      <c r="M68" s="14"/>
    </row>
    <row r="69" spans="11:13" x14ac:dyDescent="0.35">
      <c r="K69" s="14"/>
      <c r="M69" s="14"/>
    </row>
    <row r="70" spans="11:13" x14ac:dyDescent="0.35">
      <c r="K70" s="14"/>
      <c r="M70" s="14"/>
    </row>
    <row r="71" spans="11:13" x14ac:dyDescent="0.35">
      <c r="K71" s="14"/>
      <c r="M71" s="14"/>
    </row>
    <row r="72" spans="11:13" x14ac:dyDescent="0.35">
      <c r="K72" s="14"/>
      <c r="M72" s="14"/>
    </row>
    <row r="73" spans="11:13" x14ac:dyDescent="0.35">
      <c r="K73" s="14"/>
      <c r="M73" s="14"/>
    </row>
    <row r="74" spans="11:13" x14ac:dyDescent="0.35">
      <c r="K74" s="14"/>
      <c r="M74" s="14"/>
    </row>
    <row r="75" spans="11:13" x14ac:dyDescent="0.35">
      <c r="K75" s="14"/>
      <c r="M75" s="14"/>
    </row>
    <row r="76" spans="11:13" x14ac:dyDescent="0.35">
      <c r="K76" s="14"/>
      <c r="M76" s="14"/>
    </row>
    <row r="77" spans="11:13" x14ac:dyDescent="0.35">
      <c r="K77" s="14"/>
      <c r="M77" s="14"/>
    </row>
    <row r="78" spans="11:13" x14ac:dyDescent="0.35">
      <c r="K78" s="14"/>
      <c r="M78" s="14"/>
    </row>
    <row r="79" spans="11:13" x14ac:dyDescent="0.35">
      <c r="K79" s="14"/>
      <c r="M79" s="14"/>
    </row>
    <row r="80" spans="11:13" x14ac:dyDescent="0.35">
      <c r="K80" s="14"/>
      <c r="M80" s="14"/>
    </row>
    <row r="81" spans="11:13" x14ac:dyDescent="0.35">
      <c r="K81" s="14"/>
      <c r="M81" s="14"/>
    </row>
    <row r="82" spans="11:13" x14ac:dyDescent="0.35">
      <c r="K82" s="14"/>
      <c r="M82" s="14"/>
    </row>
    <row r="83" spans="11:13" x14ac:dyDescent="0.35">
      <c r="K83" s="14"/>
      <c r="M83" s="14"/>
    </row>
    <row r="84" spans="11:13" x14ac:dyDescent="0.35">
      <c r="K84" s="14"/>
      <c r="M84" s="14"/>
    </row>
    <row r="85" spans="11:13" x14ac:dyDescent="0.35">
      <c r="K85" s="14"/>
      <c r="M85" s="14"/>
    </row>
    <row r="86" spans="11:13" x14ac:dyDescent="0.35">
      <c r="K86" s="14"/>
      <c r="M86" s="14"/>
    </row>
    <row r="87" spans="11:13" x14ac:dyDescent="0.35">
      <c r="K87" s="14"/>
      <c r="M87" s="14"/>
    </row>
    <row r="88" spans="11:13" x14ac:dyDescent="0.35">
      <c r="K88" s="14"/>
      <c r="M88" s="14"/>
    </row>
    <row r="89" spans="11:13" x14ac:dyDescent="0.35">
      <c r="K89" s="14"/>
      <c r="M89" s="14"/>
    </row>
    <row r="90" spans="11:13" x14ac:dyDescent="0.35">
      <c r="K90" s="14"/>
      <c r="M90" s="14"/>
    </row>
    <row r="91" spans="11:13" x14ac:dyDescent="0.35">
      <c r="K91" s="14"/>
      <c r="M91" s="14"/>
    </row>
    <row r="92" spans="11:13" x14ac:dyDescent="0.35">
      <c r="K92" s="14"/>
      <c r="M92" s="14"/>
    </row>
    <row r="93" spans="11:13" x14ac:dyDescent="0.35">
      <c r="K93" s="14"/>
      <c r="M93" s="14"/>
    </row>
    <row r="94" spans="11:13" x14ac:dyDescent="0.35">
      <c r="K94" s="14"/>
      <c r="M94" s="14"/>
    </row>
    <row r="95" spans="11:13" x14ac:dyDescent="0.35">
      <c r="K95" s="14"/>
      <c r="M95" s="14"/>
    </row>
    <row r="96" spans="11:13" x14ac:dyDescent="0.35">
      <c r="K96" s="14"/>
      <c r="M96" s="14"/>
    </row>
    <row r="97" spans="11:13" x14ac:dyDescent="0.35">
      <c r="K97" s="14"/>
      <c r="M97" s="14"/>
    </row>
    <row r="98" spans="11:13" x14ac:dyDescent="0.35">
      <c r="K98" s="14"/>
      <c r="M98" s="14"/>
    </row>
    <row r="99" spans="11:13" x14ac:dyDescent="0.35">
      <c r="K99" s="14"/>
      <c r="M99" s="14"/>
    </row>
    <row r="100" spans="11:13" x14ac:dyDescent="0.35">
      <c r="K100" s="14"/>
      <c r="M100" s="14"/>
    </row>
    <row r="101" spans="11:13" x14ac:dyDescent="0.35">
      <c r="K101" s="14"/>
      <c r="M101" s="14"/>
    </row>
    <row r="102" spans="11:13" x14ac:dyDescent="0.35">
      <c r="K102" s="14"/>
      <c r="M102" s="14"/>
    </row>
    <row r="103" spans="11:13" x14ac:dyDescent="0.35">
      <c r="K103" s="14"/>
      <c r="M103" s="14"/>
    </row>
    <row r="104" spans="11:13" x14ac:dyDescent="0.35">
      <c r="K104" s="14"/>
      <c r="M104" s="14"/>
    </row>
    <row r="105" spans="11:13" x14ac:dyDescent="0.35">
      <c r="K105" s="14"/>
      <c r="M105" s="14"/>
    </row>
    <row r="106" spans="11:13" x14ac:dyDescent="0.35">
      <c r="K106" s="14"/>
      <c r="M106" s="14"/>
    </row>
    <row r="107" spans="11:13" x14ac:dyDescent="0.35">
      <c r="K107" s="14"/>
      <c r="M107" s="14"/>
    </row>
    <row r="108" spans="11:13" x14ac:dyDescent="0.35">
      <c r="K108" s="14"/>
      <c r="M108" s="14"/>
    </row>
    <row r="109" spans="11:13" x14ac:dyDescent="0.35">
      <c r="K109" s="14"/>
      <c r="M109" s="14"/>
    </row>
    <row r="110" spans="11:13" x14ac:dyDescent="0.35">
      <c r="K110" s="14"/>
      <c r="M110" s="14"/>
    </row>
    <row r="111" spans="11:13" x14ac:dyDescent="0.35">
      <c r="K111" s="14"/>
      <c r="M111" s="14"/>
    </row>
    <row r="112" spans="11:13" x14ac:dyDescent="0.35">
      <c r="K112" s="14"/>
      <c r="M112" s="14"/>
    </row>
  </sheetData>
  <mergeCells count="11">
    <mergeCell ref="P3:Q3"/>
    <mergeCell ref="A4:A8"/>
    <mergeCell ref="A49:A53"/>
    <mergeCell ref="A24:A28"/>
    <mergeCell ref="A29:A33"/>
    <mergeCell ref="A34:A38"/>
    <mergeCell ref="A39:A43"/>
    <mergeCell ref="A44:A48"/>
    <mergeCell ref="A9:A13"/>
    <mergeCell ref="A14:A18"/>
    <mergeCell ref="A19:A23"/>
  </mergeCells>
  <pageMargins left="0.7" right="0.7" top="0.75" bottom="0.75" header="0.3" footer="0.3"/>
  <pageSetup paperSize="9" orientation="portrait" horizontalDpi="4294967293" verticalDpi="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K34" sqref="K34"/>
    </sheetView>
  </sheetViews>
  <sheetFormatPr baseColWidth="10" defaultRowHeight="14.5" x14ac:dyDescent="0.35"/>
  <cols>
    <col min="4" max="4" width="25.1796875" bestFit="1" customWidth="1"/>
    <col min="5" max="5" width="11.81640625" bestFit="1" customWidth="1"/>
  </cols>
  <sheetData>
    <row r="1" spans="1:8" x14ac:dyDescent="0.35">
      <c r="A1" t="s">
        <v>0</v>
      </c>
      <c r="B1" t="s">
        <v>1</v>
      </c>
      <c r="C1" t="s">
        <v>2</v>
      </c>
      <c r="D1" s="1" t="s">
        <v>38</v>
      </c>
      <c r="E1" s="2" t="s">
        <v>39</v>
      </c>
      <c r="F1" s="2" t="s">
        <v>40</v>
      </c>
      <c r="G1" s="2" t="s">
        <v>41</v>
      </c>
      <c r="H1" s="3" t="s">
        <v>42</v>
      </c>
    </row>
    <row r="2" spans="1:8" x14ac:dyDescent="0.35">
      <c r="A2" t="s">
        <v>3</v>
      </c>
      <c r="B2">
        <v>77.930000000000007</v>
      </c>
      <c r="C2">
        <v>58332</v>
      </c>
    </row>
    <row r="3" spans="1:8" x14ac:dyDescent="0.35">
      <c r="A3" t="s">
        <v>4</v>
      </c>
      <c r="B3">
        <v>0.17699999999999999</v>
      </c>
      <c r="C3">
        <v>6046</v>
      </c>
    </row>
    <row r="4" spans="1:8" x14ac:dyDescent="0.35">
      <c r="A4" t="s">
        <v>133</v>
      </c>
      <c r="B4">
        <v>2.867</v>
      </c>
      <c r="C4">
        <v>7855</v>
      </c>
    </row>
    <row r="5" spans="1:8" x14ac:dyDescent="0.35">
      <c r="A5" t="s">
        <v>134</v>
      </c>
      <c r="B5">
        <v>5.2949999999999999</v>
      </c>
      <c r="C5">
        <v>9488</v>
      </c>
    </row>
    <row r="6" spans="1:8" x14ac:dyDescent="0.35">
      <c r="A6" t="s">
        <v>5</v>
      </c>
      <c r="B6">
        <v>7.7569999999999997</v>
      </c>
      <c r="C6">
        <v>11143</v>
      </c>
    </row>
    <row r="7" spans="1:8" x14ac:dyDescent="0.35">
      <c r="A7" t="s">
        <v>6</v>
      </c>
      <c r="B7">
        <v>12.762</v>
      </c>
      <c r="C7">
        <v>14509</v>
      </c>
    </row>
    <row r="8" spans="1:8" x14ac:dyDescent="0.35">
      <c r="A8" t="s">
        <v>7</v>
      </c>
      <c r="B8">
        <v>23.213000000000001</v>
      </c>
      <c r="C8">
        <v>21537</v>
      </c>
    </row>
    <row r="9" spans="1:8" x14ac:dyDescent="0.35">
      <c r="A9" t="s">
        <v>8</v>
      </c>
      <c r="B9">
        <v>33.076999999999998</v>
      </c>
      <c r="C9">
        <v>28170</v>
      </c>
    </row>
    <row r="10" spans="1:8" x14ac:dyDescent="0.35">
      <c r="A10" t="s">
        <v>9</v>
      </c>
      <c r="B10">
        <v>52.654000000000003</v>
      </c>
      <c r="C10">
        <v>41335</v>
      </c>
    </row>
    <row r="11" spans="1:8" x14ac:dyDescent="0.35">
      <c r="A11" t="s">
        <v>135</v>
      </c>
      <c r="B11">
        <v>62.951999999999998</v>
      </c>
      <c r="C11">
        <v>48260</v>
      </c>
    </row>
    <row r="12" spans="1:8" x14ac:dyDescent="0.35">
      <c r="A12" t="s">
        <v>136</v>
      </c>
      <c r="B12">
        <v>77.825999999999993</v>
      </c>
      <c r="C12">
        <v>58262</v>
      </c>
    </row>
    <row r="13" spans="1:8" x14ac:dyDescent="0.35">
      <c r="A13" t="s">
        <v>10</v>
      </c>
      <c r="B13">
        <v>0</v>
      </c>
      <c r="C13">
        <v>5927</v>
      </c>
    </row>
    <row r="14" spans="1:8" x14ac:dyDescent="0.35">
      <c r="A14" t="s">
        <v>10</v>
      </c>
      <c r="B14">
        <v>0</v>
      </c>
      <c r="C14">
        <v>5927</v>
      </c>
    </row>
    <row r="15" spans="1:8" x14ac:dyDescent="0.35">
      <c r="A15" t="s">
        <v>153</v>
      </c>
      <c r="B15">
        <v>3.2509999999999999</v>
      </c>
      <c r="C15">
        <v>8113</v>
      </c>
      <c r="D15">
        <v>3.2507509740356304</v>
      </c>
      <c r="E15">
        <v>3.1436814085596168</v>
      </c>
      <c r="G15">
        <f>AVERAGE(F18:F22)</f>
        <v>19.672842994378847</v>
      </c>
      <c r="H15">
        <f>STDEV(F18:F22)</f>
        <v>1.8464965818000179</v>
      </c>
    </row>
    <row r="16" spans="1:8" x14ac:dyDescent="0.35">
      <c r="A16" t="s">
        <v>154</v>
      </c>
      <c r="B16">
        <v>3.0350000000000001</v>
      </c>
      <c r="C16">
        <v>7968</v>
      </c>
      <c r="D16">
        <v>3.0351247657853255</v>
      </c>
    </row>
    <row r="17" spans="1:6" x14ac:dyDescent="0.35">
      <c r="A17" t="s">
        <v>155</v>
      </c>
      <c r="B17">
        <v>3.145</v>
      </c>
      <c r="C17">
        <v>8042</v>
      </c>
      <c r="D17">
        <v>3.1451684858578948</v>
      </c>
    </row>
    <row r="18" spans="1:6" x14ac:dyDescent="0.35">
      <c r="A18" t="s">
        <v>156</v>
      </c>
      <c r="B18">
        <v>23.777999999999999</v>
      </c>
      <c r="C18">
        <v>21917</v>
      </c>
      <c r="D18">
        <v>23.778365999464651</v>
      </c>
      <c r="F18">
        <v>20.634684590905035</v>
      </c>
    </row>
    <row r="19" spans="1:6" x14ac:dyDescent="0.35">
      <c r="A19" t="s">
        <v>157</v>
      </c>
      <c r="B19">
        <v>23.908000000000001</v>
      </c>
      <c r="C19">
        <v>22004</v>
      </c>
      <c r="D19">
        <v>23.907741724414834</v>
      </c>
      <c r="F19">
        <v>20.764060315855218</v>
      </c>
    </row>
    <row r="20" spans="1:6" x14ac:dyDescent="0.35">
      <c r="A20" t="s">
        <v>158</v>
      </c>
      <c r="B20">
        <v>19.79</v>
      </c>
      <c r="C20">
        <v>19235</v>
      </c>
      <c r="D20">
        <v>19.79002468548315</v>
      </c>
      <c r="F20">
        <v>16.646343276923535</v>
      </c>
    </row>
    <row r="21" spans="1:6" x14ac:dyDescent="0.35">
      <c r="A21" t="s">
        <v>159</v>
      </c>
      <c r="B21">
        <v>22.331</v>
      </c>
      <c r="C21">
        <v>20944</v>
      </c>
      <c r="D21">
        <v>22.331439788240193</v>
      </c>
      <c r="F21">
        <v>19.187758379680577</v>
      </c>
    </row>
    <row r="22" spans="1:6" x14ac:dyDescent="0.35">
      <c r="A22" t="s">
        <v>160</v>
      </c>
      <c r="B22">
        <v>24.274999999999999</v>
      </c>
      <c r="C22">
        <v>22251</v>
      </c>
      <c r="D22">
        <v>24.275049817089492</v>
      </c>
      <c r="F22">
        <v>21.131368408529877</v>
      </c>
    </row>
    <row r="23" spans="1:6" x14ac:dyDescent="0.35">
      <c r="A23" t="s">
        <v>10</v>
      </c>
      <c r="B23">
        <v>0</v>
      </c>
      <c r="C23">
        <v>5927</v>
      </c>
      <c r="D23">
        <v>0</v>
      </c>
    </row>
    <row r="24" spans="1:6" x14ac:dyDescent="0.35">
      <c r="A24" t="s">
        <v>10</v>
      </c>
      <c r="B24">
        <v>0</v>
      </c>
      <c r="C24">
        <v>5927</v>
      </c>
      <c r="D24">
        <v>0</v>
      </c>
    </row>
    <row r="25" spans="1:6" x14ac:dyDescent="0.35">
      <c r="A25" t="s">
        <v>10</v>
      </c>
      <c r="B25">
        <v>0</v>
      </c>
      <c r="C25">
        <v>5927</v>
      </c>
      <c r="D25">
        <v>0</v>
      </c>
    </row>
    <row r="26" spans="1:6" x14ac:dyDescent="0.35">
      <c r="A26" t="s">
        <v>10</v>
      </c>
      <c r="B26">
        <v>0</v>
      </c>
      <c r="C26">
        <v>5927</v>
      </c>
      <c r="D26">
        <v>0</v>
      </c>
    </row>
    <row r="27" spans="1:6" x14ac:dyDescent="0.35">
      <c r="A27" t="s">
        <v>10</v>
      </c>
      <c r="B27">
        <v>0</v>
      </c>
      <c r="C27">
        <v>5927</v>
      </c>
      <c r="D27">
        <v>0</v>
      </c>
    </row>
    <row r="28" spans="1:6" x14ac:dyDescent="0.35">
      <c r="A28" t="s">
        <v>10</v>
      </c>
      <c r="B28">
        <v>0</v>
      </c>
      <c r="C28">
        <v>5927</v>
      </c>
      <c r="D28">
        <v>0</v>
      </c>
    </row>
    <row r="29" spans="1:6" x14ac:dyDescent="0.35">
      <c r="A29" t="s">
        <v>10</v>
      </c>
      <c r="B29">
        <v>0</v>
      </c>
      <c r="C29">
        <v>5927</v>
      </c>
      <c r="D29">
        <v>0</v>
      </c>
    </row>
    <row r="30" spans="1:6" x14ac:dyDescent="0.35">
      <c r="A30" t="s">
        <v>10</v>
      </c>
      <c r="B30">
        <v>0</v>
      </c>
      <c r="C30">
        <v>5927</v>
      </c>
      <c r="D30">
        <v>0</v>
      </c>
    </row>
    <row r="31" spans="1:6" x14ac:dyDescent="0.35">
      <c r="A31" t="s">
        <v>141</v>
      </c>
      <c r="B31">
        <v>0</v>
      </c>
      <c r="C31">
        <v>5927</v>
      </c>
      <c r="D31">
        <v>0</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5"/>
  <sheetViews>
    <sheetView workbookViewId="0">
      <selection activeCell="N13" sqref="N13"/>
    </sheetView>
  </sheetViews>
  <sheetFormatPr baseColWidth="10" defaultRowHeight="14.5" x14ac:dyDescent="0.35"/>
  <cols>
    <col min="2" max="2" width="20.54296875" bestFit="1" customWidth="1"/>
    <col min="3" max="3" width="15.54296875" bestFit="1" customWidth="1"/>
    <col min="5" max="5" width="12.54296875" bestFit="1" customWidth="1"/>
    <col min="7" max="7" width="12.54296875" bestFit="1" customWidth="1"/>
    <col min="8" max="8" width="14.1796875" bestFit="1" customWidth="1"/>
  </cols>
  <sheetData>
    <row r="2" spans="1:14" x14ac:dyDescent="0.35">
      <c r="A2" s="88" t="s">
        <v>149</v>
      </c>
      <c r="B2" s="89" t="s">
        <v>150</v>
      </c>
      <c r="C2" s="89" t="s">
        <v>161</v>
      </c>
      <c r="D2" s="90" t="s">
        <v>151</v>
      </c>
      <c r="E2" s="89" t="s">
        <v>162</v>
      </c>
      <c r="G2" s="89" t="s">
        <v>43</v>
      </c>
      <c r="H2" s="91" t="s">
        <v>152</v>
      </c>
      <c r="N2" s="141" t="s">
        <v>171</v>
      </c>
    </row>
    <row r="3" spans="1:14" x14ac:dyDescent="0.35">
      <c r="A3" s="4">
        <v>9</v>
      </c>
      <c r="B3" s="78">
        <v>0</v>
      </c>
      <c r="C3" s="98">
        <v>3.25075097403563</v>
      </c>
      <c r="D3" s="100">
        <v>29.904950495049512</v>
      </c>
      <c r="E3" s="102">
        <v>5.0879999999999939</v>
      </c>
      <c r="G3" s="92">
        <f>C3*E3*10^-3*D3*10^-6*28.055</f>
        <v>1.3876634991701741E-5</v>
      </c>
      <c r="H3" s="78"/>
      <c r="N3" s="141"/>
    </row>
    <row r="4" spans="1:14" x14ac:dyDescent="0.35">
      <c r="A4" s="4">
        <v>10</v>
      </c>
      <c r="B4" s="78">
        <v>0</v>
      </c>
      <c r="C4" s="98">
        <v>3.03512476578533</v>
      </c>
      <c r="D4" s="100">
        <v>29.8970297029703</v>
      </c>
      <c r="E4" s="102">
        <v>5.0969999999999942</v>
      </c>
      <c r="G4" s="92">
        <f t="shared" ref="G4:G10" si="0">C4*E4*10^-3*D4*10^-6*28.055</f>
        <v>1.2975661217757385E-5</v>
      </c>
      <c r="H4" s="78"/>
      <c r="L4" s="97" t="s">
        <v>172</v>
      </c>
      <c r="M4" s="97" t="s">
        <v>173</v>
      </c>
      <c r="N4" s="141"/>
    </row>
    <row r="5" spans="1:14" x14ac:dyDescent="0.35">
      <c r="A5" s="4">
        <v>11</v>
      </c>
      <c r="B5" s="78">
        <v>0</v>
      </c>
      <c r="C5" s="98">
        <v>3.1451684858578899</v>
      </c>
      <c r="D5" s="100">
        <v>29.74505928853754</v>
      </c>
      <c r="E5" s="102">
        <v>5.0899999999999892</v>
      </c>
      <c r="G5" s="92">
        <f t="shared" si="0"/>
        <v>1.33593955787744E-5</v>
      </c>
      <c r="H5" s="78"/>
      <c r="L5" s="139" t="s">
        <v>152</v>
      </c>
      <c r="M5" s="140"/>
      <c r="N5" s="140"/>
    </row>
    <row r="6" spans="1:14" x14ac:dyDescent="0.35">
      <c r="A6" s="4">
        <v>12</v>
      </c>
      <c r="B6" s="94">
        <v>7.9719999999999999E-2</v>
      </c>
      <c r="C6" s="98">
        <v>20.634684590905</v>
      </c>
      <c r="D6" s="100">
        <v>30.239520958083808</v>
      </c>
      <c r="E6" s="102">
        <v>4.7160000000000082</v>
      </c>
      <c r="G6" s="92">
        <f t="shared" si="0"/>
        <v>8.2557552871332485E-5</v>
      </c>
      <c r="H6" s="94">
        <f t="shared" ref="H6:H10" si="1">G6*100/B6</f>
        <v>0.10355939898561525</v>
      </c>
      <c r="L6" s="96">
        <f>'6.Results NaOH digestion'!M39</f>
        <v>0.15068581698232553</v>
      </c>
      <c r="M6" s="96">
        <f>H6</f>
        <v>0.10355939898561525</v>
      </c>
      <c r="N6" s="96">
        <f>L6+M6</f>
        <v>0.25424521596794081</v>
      </c>
    </row>
    <row r="7" spans="1:14" x14ac:dyDescent="0.35">
      <c r="A7" s="4">
        <v>13</v>
      </c>
      <c r="B7" s="94">
        <v>7.9810000000000006E-2</v>
      </c>
      <c r="C7" s="98">
        <v>20.7640603158552</v>
      </c>
      <c r="D7" s="100">
        <v>30.015968063872286</v>
      </c>
      <c r="E7" s="102">
        <v>5.0939999999999941</v>
      </c>
      <c r="G7" s="92">
        <f>C7*E7*10^-3*D7*10^-6*28.055</f>
        <v>8.9070491754732054E-5</v>
      </c>
      <c r="H7" s="94">
        <f t="shared" si="1"/>
        <v>0.11160317222745526</v>
      </c>
      <c r="L7" s="96">
        <f>'6.Results NaOH digestion'!M40</f>
        <v>0.15233678998827049</v>
      </c>
      <c r="M7" s="96">
        <f t="shared" ref="M7:M10" si="2">H7</f>
        <v>0.11160317222745526</v>
      </c>
      <c r="N7" s="96">
        <f t="shared" ref="N7:N10" si="3">L7+M7</f>
        <v>0.26393996221572574</v>
      </c>
    </row>
    <row r="8" spans="1:14" x14ac:dyDescent="0.35">
      <c r="A8" s="4">
        <v>14</v>
      </c>
      <c r="B8" s="94">
        <v>7.9750000000000001E-2</v>
      </c>
      <c r="C8" s="98">
        <v>16.646343276923499</v>
      </c>
      <c r="D8" s="100">
        <v>30.199600798403178</v>
      </c>
      <c r="E8" s="102">
        <v>5.0989999999999895</v>
      </c>
      <c r="G8" s="92">
        <f t="shared" si="0"/>
        <v>7.1914312584606192E-5</v>
      </c>
      <c r="H8" s="94">
        <f t="shared" si="1"/>
        <v>9.0174686626465439E-2</v>
      </c>
      <c r="L8" s="96">
        <f>'6.Results NaOH digestion'!M41</f>
        <v>0.15306212074561271</v>
      </c>
      <c r="M8" s="96">
        <f t="shared" si="2"/>
        <v>9.0174686626465439E-2</v>
      </c>
      <c r="N8" s="96">
        <f t="shared" si="3"/>
        <v>0.24323680737207815</v>
      </c>
    </row>
    <row r="9" spans="1:14" x14ac:dyDescent="0.35">
      <c r="A9" s="4">
        <v>15</v>
      </c>
      <c r="B9" s="94">
        <v>7.9649999999999999E-2</v>
      </c>
      <c r="C9" s="98">
        <v>19.187758379680599</v>
      </c>
      <c r="D9" s="100">
        <v>30.217999999999996</v>
      </c>
      <c r="E9" s="102">
        <v>5.0969999999999942</v>
      </c>
      <c r="G9" s="92">
        <f t="shared" si="0"/>
        <v>8.2911517604080656E-5</v>
      </c>
      <c r="H9" s="94">
        <f t="shared" si="1"/>
        <v>0.10409481180675539</v>
      </c>
      <c r="L9" s="96">
        <f>'6.Results NaOH digestion'!M42</f>
        <v>0.15200957447068081</v>
      </c>
      <c r="M9" s="96">
        <f t="shared" si="2"/>
        <v>0.10409481180675539</v>
      </c>
      <c r="N9" s="96">
        <f t="shared" si="3"/>
        <v>0.2561043862774362</v>
      </c>
    </row>
    <row r="10" spans="1:14" x14ac:dyDescent="0.35">
      <c r="A10" s="7">
        <v>16</v>
      </c>
      <c r="B10" s="95">
        <v>7.9750000000000001E-2</v>
      </c>
      <c r="C10" s="99">
        <v>21.131368408529902</v>
      </c>
      <c r="D10" s="101">
        <v>30.204000000000001</v>
      </c>
      <c r="E10" s="103">
        <v>5.1009999999999991</v>
      </c>
      <c r="G10" s="93">
        <f t="shared" si="0"/>
        <v>9.1339300181536841E-5</v>
      </c>
      <c r="H10" s="95">
        <f t="shared" si="1"/>
        <v>0.11453203784518726</v>
      </c>
      <c r="L10" s="96">
        <f>'6.Results NaOH digestion'!M43</f>
        <v>0.15073053382665766</v>
      </c>
      <c r="M10" s="96">
        <f t="shared" si="2"/>
        <v>0.11453203784518726</v>
      </c>
      <c r="N10" s="96">
        <f t="shared" si="3"/>
        <v>0.26526257167184492</v>
      </c>
    </row>
    <row r="12" spans="1:14" x14ac:dyDescent="0.35">
      <c r="H12" t="s">
        <v>120</v>
      </c>
      <c r="N12" t="s">
        <v>120</v>
      </c>
    </row>
    <row r="13" spans="1:14" x14ac:dyDescent="0.35">
      <c r="H13" s="77">
        <f>AVERAGE(H6:H10)</f>
        <v>0.10479282149829572</v>
      </c>
      <c r="N13" s="77">
        <f>AVERAGE(N6:N10)</f>
        <v>0.25655778870100515</v>
      </c>
    </row>
    <row r="14" spans="1:14" x14ac:dyDescent="0.35">
      <c r="H14" t="s">
        <v>42</v>
      </c>
      <c r="N14" t="s">
        <v>42</v>
      </c>
    </row>
    <row r="15" spans="1:14" x14ac:dyDescent="0.35">
      <c r="H15" s="77">
        <f>STDEV(H6:H10)</f>
        <v>9.4463171111949084E-3</v>
      </c>
      <c r="N15" s="77">
        <f>STDEV(N6:N10)</f>
        <v>8.849743532158106E-3</v>
      </c>
    </row>
  </sheetData>
  <mergeCells count="2">
    <mergeCell ref="L5:N5"/>
    <mergeCell ref="N2:N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READ ME</vt:lpstr>
      <vt:lpstr>1.Raw Data AutoAnalyzer HF</vt:lpstr>
      <vt:lpstr>2. Results HF digestion</vt:lpstr>
      <vt:lpstr>3.Raw data AutoAnalyzer NaOH</vt:lpstr>
      <vt:lpstr>4.Dilution NaOH digestion</vt:lpstr>
      <vt:lpstr>5.DW for NaOH digestion</vt:lpstr>
      <vt:lpstr>6.Results NaOH digestion</vt:lpstr>
      <vt:lpstr>7.Raw Data AutoAnal HF postNaOH</vt:lpstr>
      <vt:lpstr>8. Results HF postNaOH</vt:lpstr>
      <vt:lpstr>9.Z.marina_Si_stock-Bay_Brest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justine roth</dc:creator>
  <cp:lastModifiedBy>María</cp:lastModifiedBy>
  <dcterms:created xsi:type="dcterms:W3CDTF">2022-02-21T14:15:50Z</dcterms:created>
  <dcterms:modified xsi:type="dcterms:W3CDTF">2024-12-17T11:26:54Z</dcterms:modified>
</cp:coreProperties>
</file>